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ownfields\"/>
    </mc:Choice>
  </mc:AlternateContent>
  <bookViews>
    <workbookView xWindow="120" yWindow="612" windowWidth="21072" windowHeight="5160"/>
  </bookViews>
  <sheets>
    <sheet name="ownexl" sheetId="1" r:id="rId1"/>
  </sheets>
  <calcPr calcId="162913"/>
  <fileRecoveryPr repairLoad="1"/>
</workbook>
</file>

<file path=xl/calcChain.xml><?xml version="1.0" encoding="utf-8"?>
<calcChain xmlns="http://schemas.openxmlformats.org/spreadsheetml/2006/main">
  <c r="B21" i="1" l="1"/>
  <c r="B142" i="1" l="1"/>
  <c r="B18" i="1" l="1"/>
  <c r="I31" i="1" l="1"/>
  <c r="B30" i="1"/>
  <c r="I302" i="1" l="1"/>
  <c r="A302" i="1"/>
  <c r="I355" i="1" l="1"/>
  <c r="I357" i="1"/>
  <c r="I98" i="1"/>
  <c r="I205" i="1" l="1"/>
  <c r="I35" i="1"/>
  <c r="I356" i="1" l="1"/>
  <c r="I326" i="1"/>
  <c r="I324" i="1"/>
  <c r="I323" i="1"/>
  <c r="I320" i="1"/>
  <c r="I311" i="1"/>
  <c r="I209" i="1" l="1"/>
  <c r="I208" i="1"/>
  <c r="I207" i="1"/>
  <c r="I206" i="1"/>
  <c r="I38" i="1" l="1"/>
  <c r="I37" i="1"/>
  <c r="I36" i="1"/>
  <c r="I23" i="1"/>
  <c r="I22" i="1"/>
  <c r="I15" i="1"/>
  <c r="I13" i="1"/>
  <c r="I12" i="1"/>
  <c r="I42" i="1" l="1"/>
  <c r="I322" i="1" l="1"/>
  <c r="I319" i="1"/>
  <c r="A5" i="1" l="1"/>
  <c r="B285" i="1"/>
  <c r="I286" i="1"/>
  <c r="I285" i="1"/>
  <c r="I284" i="1"/>
  <c r="I283" i="1"/>
  <c r="I282" i="1"/>
  <c r="B286" i="1"/>
  <c r="A286" i="1"/>
  <c r="A285" i="1"/>
  <c r="B284" i="1"/>
  <c r="A284" i="1"/>
  <c r="B283" i="1"/>
  <c r="A283" i="1"/>
  <c r="B282" i="1"/>
  <c r="A282" i="1"/>
  <c r="I274" i="1"/>
  <c r="I273" i="1"/>
  <c r="I272" i="1"/>
  <c r="I271" i="1"/>
  <c r="I270" i="1"/>
  <c r="I269" i="1"/>
  <c r="B274" i="1"/>
  <c r="A274" i="1"/>
  <c r="B273" i="1"/>
  <c r="B272" i="1"/>
  <c r="A272" i="1"/>
  <c r="B271" i="1"/>
  <c r="A271" i="1"/>
  <c r="B270" i="1"/>
  <c r="A270" i="1"/>
  <c r="B269" i="1"/>
  <c r="A269" i="1"/>
  <c r="I265" i="1"/>
  <c r="I264" i="1"/>
  <c r="I262" i="1"/>
  <c r="I261" i="1"/>
  <c r="I260" i="1"/>
  <c r="I259" i="1"/>
  <c r="I258" i="1"/>
  <c r="I257" i="1"/>
  <c r="B265" i="1"/>
  <c r="A265" i="1"/>
  <c r="B264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I231" i="1"/>
  <c r="B231" i="1"/>
  <c r="A231" i="1"/>
  <c r="I223" i="1"/>
  <c r="B223" i="1"/>
  <c r="A223" i="1"/>
  <c r="I216" i="1"/>
  <c r="I215" i="1"/>
  <c r="I214" i="1"/>
  <c r="I213" i="1"/>
  <c r="I200" i="1"/>
  <c r="I199" i="1"/>
  <c r="I198" i="1"/>
  <c r="I197" i="1"/>
  <c r="I184" i="1"/>
  <c r="I183" i="1"/>
  <c r="I182" i="1"/>
  <c r="I161" i="1"/>
  <c r="B161" i="1"/>
  <c r="A161" i="1"/>
  <c r="I160" i="1" l="1"/>
  <c r="B160" i="1"/>
  <c r="A160" i="1"/>
  <c r="I138" i="1"/>
  <c r="A39" i="1" l="1"/>
  <c r="B39" i="1"/>
  <c r="I39" i="1"/>
  <c r="A6" i="1"/>
  <c r="A7" i="1"/>
  <c r="A8" i="1"/>
  <c r="A9" i="1"/>
  <c r="A10" i="1"/>
  <c r="A11" i="1"/>
  <c r="A14" i="1"/>
  <c r="A16" i="1"/>
  <c r="A17" i="1"/>
  <c r="A18" i="1"/>
  <c r="A19" i="1"/>
  <c r="A20" i="1"/>
  <c r="A21" i="1"/>
  <c r="A24" i="1"/>
  <c r="A25" i="1"/>
  <c r="A26" i="1"/>
  <c r="A28" i="1"/>
  <c r="A29" i="1"/>
  <c r="A30" i="1"/>
  <c r="A32" i="1"/>
  <c r="A33" i="1"/>
  <c r="A34" i="1"/>
  <c r="A40" i="1"/>
  <c r="A41" i="1"/>
  <c r="A47" i="1"/>
  <c r="A48" i="1"/>
  <c r="A49" i="1"/>
  <c r="A50" i="1"/>
  <c r="A51" i="1"/>
  <c r="A52" i="1"/>
  <c r="A55" i="1"/>
  <c r="A56" i="1"/>
  <c r="A57" i="1"/>
  <c r="A69" i="1"/>
  <c r="A70" i="1"/>
  <c r="A71" i="1"/>
  <c r="A72" i="1"/>
  <c r="A73" i="1"/>
  <c r="A74" i="1"/>
  <c r="A75" i="1"/>
  <c r="A76" i="1"/>
  <c r="A77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7" i="1"/>
  <c r="A178" i="1"/>
  <c r="A185" i="1"/>
  <c r="A186" i="1"/>
  <c r="A187" i="1"/>
  <c r="A188" i="1"/>
  <c r="A189" i="1"/>
  <c r="A190" i="1"/>
  <c r="A191" i="1"/>
  <c r="A192" i="1"/>
  <c r="A193" i="1"/>
  <c r="A194" i="1"/>
  <c r="A195" i="1"/>
  <c r="A227" i="1"/>
  <c r="A229" i="1"/>
  <c r="A23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67" i="1"/>
  <c r="A268" i="1"/>
  <c r="A280" i="1"/>
  <c r="A281" i="1"/>
  <c r="A292" i="1"/>
  <c r="A293" i="1"/>
  <c r="A294" i="1"/>
  <c r="A295" i="1"/>
  <c r="A296" i="1"/>
  <c r="A297" i="1"/>
  <c r="A298" i="1"/>
  <c r="A299" i="1"/>
  <c r="A300" i="1"/>
  <c r="A301" i="1"/>
  <c r="A303" i="1"/>
  <c r="A304" i="1"/>
  <c r="A305" i="1"/>
  <c r="A307" i="1"/>
  <c r="A313" i="1"/>
  <c r="A314" i="1"/>
  <c r="A315" i="1"/>
  <c r="A316" i="1"/>
  <c r="A317" i="1"/>
  <c r="A318" i="1"/>
  <c r="A327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B5" i="1"/>
  <c r="B6" i="1"/>
  <c r="B7" i="1"/>
  <c r="B8" i="1"/>
  <c r="B9" i="1"/>
  <c r="B10" i="1"/>
  <c r="B11" i="1"/>
  <c r="B14" i="1"/>
  <c r="B16" i="1"/>
  <c r="B17" i="1"/>
  <c r="B19" i="1"/>
  <c r="B20" i="1"/>
  <c r="B24" i="1"/>
  <c r="B25" i="1"/>
  <c r="B26" i="1"/>
  <c r="B28" i="1"/>
  <c r="B29" i="1"/>
  <c r="B32" i="1"/>
  <c r="B33" i="1"/>
  <c r="B34" i="1"/>
  <c r="B40" i="1"/>
  <c r="B41" i="1"/>
  <c r="B47" i="1"/>
  <c r="B48" i="1"/>
  <c r="B49" i="1"/>
  <c r="B50" i="1"/>
  <c r="B51" i="1"/>
  <c r="B52" i="1"/>
  <c r="B55" i="1"/>
  <c r="B56" i="1"/>
  <c r="B57" i="1"/>
  <c r="B69" i="1"/>
  <c r="B70" i="1"/>
  <c r="B71" i="1"/>
  <c r="B72" i="1"/>
  <c r="B73" i="1"/>
  <c r="B74" i="1"/>
  <c r="B75" i="1"/>
  <c r="B76" i="1"/>
  <c r="B77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9" i="1"/>
  <c r="B140" i="1"/>
  <c r="B141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7" i="1"/>
  <c r="B185" i="1"/>
  <c r="B186" i="1"/>
  <c r="B187" i="1"/>
  <c r="B188" i="1"/>
  <c r="B189" i="1"/>
  <c r="B190" i="1"/>
  <c r="B191" i="1"/>
  <c r="B192" i="1"/>
  <c r="B193" i="1"/>
  <c r="B195" i="1"/>
  <c r="B227" i="1"/>
  <c r="B229" i="1"/>
  <c r="B23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67" i="1"/>
  <c r="B268" i="1"/>
  <c r="B280" i="1"/>
  <c r="B281" i="1"/>
  <c r="B292" i="1"/>
  <c r="B293" i="1"/>
  <c r="B294" i="1"/>
  <c r="B295" i="1"/>
  <c r="B296" i="1"/>
  <c r="B297" i="1"/>
  <c r="B298" i="1"/>
  <c r="B299" i="1"/>
  <c r="B300" i="1"/>
  <c r="B301" i="1"/>
  <c r="B303" i="1"/>
  <c r="B304" i="1"/>
  <c r="B305" i="1"/>
  <c r="B307" i="1"/>
  <c r="B313" i="1"/>
  <c r="B314" i="1"/>
  <c r="B315" i="1"/>
  <c r="B316" i="1"/>
  <c r="B317" i="1"/>
  <c r="B318" i="1"/>
  <c r="B327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I318" i="1" l="1"/>
  <c r="I317" i="1"/>
  <c r="I316" i="1"/>
  <c r="I315" i="1"/>
  <c r="I314" i="1"/>
  <c r="I313" i="1"/>
  <c r="I307" i="1"/>
  <c r="I303" i="1"/>
  <c r="I297" i="1"/>
  <c r="I14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256" i="1"/>
  <c r="I255" i="1"/>
  <c r="I189" i="1"/>
  <c r="I188" i="1"/>
  <c r="I187" i="1"/>
  <c r="I186" i="1"/>
  <c r="I185" i="1"/>
  <c r="I137" i="1"/>
  <c r="I80" i="1"/>
  <c r="I77" i="1"/>
  <c r="I76" i="1"/>
  <c r="I75" i="1"/>
  <c r="I74" i="1"/>
  <c r="I70" i="1"/>
  <c r="I69" i="1"/>
  <c r="I57" i="1"/>
  <c r="I56" i="1"/>
  <c r="I55" i="1"/>
  <c r="I52" i="1"/>
  <c r="I51" i="1"/>
  <c r="I50" i="1"/>
  <c r="I34" i="1"/>
  <c r="I33" i="1"/>
  <c r="I32" i="1"/>
  <c r="I21" i="1"/>
  <c r="I20" i="1"/>
  <c r="I19" i="1"/>
  <c r="I18" i="1"/>
  <c r="I17" i="1"/>
  <c r="I16" i="1"/>
  <c r="I327" i="1"/>
  <c r="I305" i="1"/>
  <c r="I304" i="1"/>
  <c r="I301" i="1"/>
  <c r="I300" i="1"/>
  <c r="I299" i="1"/>
  <c r="I298" i="1"/>
  <c r="I177" i="1"/>
  <c r="I175" i="1"/>
  <c r="I174" i="1"/>
  <c r="I173" i="1"/>
  <c r="I140" i="1"/>
  <c r="I139" i="1"/>
  <c r="I123" i="1"/>
  <c r="I122" i="1"/>
  <c r="I114" i="1"/>
  <c r="I105" i="1"/>
  <c r="I104" i="1"/>
  <c r="I103" i="1"/>
  <c r="I84" i="1"/>
  <c r="I5" i="1"/>
  <c r="I6" i="1"/>
  <c r="I7" i="1"/>
  <c r="I8" i="1"/>
  <c r="I9" i="1"/>
  <c r="I10" i="1"/>
  <c r="I11" i="1"/>
  <c r="I24" i="1"/>
  <c r="I25" i="1"/>
  <c r="I26" i="1"/>
  <c r="I28" i="1"/>
  <c r="I29" i="1"/>
  <c r="I30" i="1"/>
  <c r="I40" i="1"/>
  <c r="I41" i="1"/>
  <c r="I47" i="1"/>
  <c r="I48" i="1"/>
  <c r="I49" i="1"/>
  <c r="I71" i="1"/>
  <c r="I72" i="1"/>
  <c r="I73" i="1"/>
  <c r="I81" i="1"/>
  <c r="I82" i="1"/>
  <c r="I83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100" i="1"/>
  <c r="I101" i="1"/>
  <c r="I102" i="1"/>
  <c r="I106" i="1"/>
  <c r="I107" i="1"/>
  <c r="I108" i="1"/>
  <c r="I109" i="1"/>
  <c r="I110" i="1"/>
  <c r="I111" i="1"/>
  <c r="I112" i="1"/>
  <c r="I113" i="1"/>
  <c r="I115" i="1"/>
  <c r="I116" i="1"/>
  <c r="I117" i="1"/>
  <c r="I118" i="1"/>
  <c r="I119" i="1"/>
  <c r="I120" i="1"/>
  <c r="I121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3" i="1"/>
  <c r="I164" i="1"/>
  <c r="I165" i="1"/>
  <c r="I166" i="1"/>
  <c r="I167" i="1"/>
  <c r="I168" i="1"/>
  <c r="I169" i="1"/>
  <c r="I170" i="1"/>
  <c r="I171" i="1"/>
  <c r="I172" i="1"/>
  <c r="I178" i="1"/>
  <c r="I190" i="1"/>
  <c r="I191" i="1"/>
  <c r="I192" i="1"/>
  <c r="I193" i="1"/>
  <c r="I194" i="1"/>
  <c r="I195" i="1"/>
  <c r="I227" i="1"/>
  <c r="I229" i="1"/>
  <c r="I23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67" i="1"/>
  <c r="I268" i="1"/>
  <c r="I280" i="1"/>
  <c r="I281" i="1"/>
  <c r="I292" i="1"/>
  <c r="I293" i="1"/>
  <c r="I294" i="1"/>
  <c r="I295" i="1"/>
  <c r="I296" i="1"/>
</calcChain>
</file>

<file path=xl/comments1.xml><?xml version="1.0" encoding="utf-8"?>
<comments xmlns="http://schemas.openxmlformats.org/spreadsheetml/2006/main">
  <authors>
    <author>Stefel, April</author>
  </authors>
  <commentList>
    <comment ref="A241" authorId="0" shapeId="0">
      <text>
        <r>
          <rPr>
            <b/>
            <sz val="9"/>
            <color indexed="81"/>
            <rFont val="Tahoma"/>
            <family val="2"/>
          </rPr>
          <t>Stefel, April: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<sst xmlns="http://schemas.openxmlformats.org/spreadsheetml/2006/main" count="2581" uniqueCount="1170">
  <si>
    <t>Block</t>
  </si>
  <si>
    <t>Lot</t>
  </si>
  <si>
    <t>Qual</t>
  </si>
  <si>
    <t>Property Location</t>
  </si>
  <si>
    <t>Owner's Name</t>
  </si>
  <si>
    <t>Owner's Mailing Address</t>
  </si>
  <si>
    <t>City/State</t>
  </si>
  <si>
    <t>Zip</t>
  </si>
  <si>
    <t>Yr. Built</t>
  </si>
  <si>
    <t>Acreage</t>
  </si>
  <si>
    <t xml:space="preserve">     </t>
  </si>
  <si>
    <t xml:space="preserve">PLAINFIELD, NJ           </t>
  </si>
  <si>
    <t xml:space="preserve">304-10 PARK AVE          </t>
  </si>
  <si>
    <t xml:space="preserve">PINNACLE PROPERTY MANAGEMENT LLC   </t>
  </si>
  <si>
    <t xml:space="preserve">5 MOUNTAIN BLVD #6       </t>
  </si>
  <si>
    <t xml:space="preserve">WARREN, NJ               </t>
  </si>
  <si>
    <t xml:space="preserve">316-22 PARK AVE          </t>
  </si>
  <si>
    <t xml:space="preserve">DUNN &amp; SONS MAINTENANCE CORP.      </t>
  </si>
  <si>
    <t xml:space="preserve">320 PARK AVE             </t>
  </si>
  <si>
    <t xml:space="preserve">PLAINFIELD, N J          </t>
  </si>
  <si>
    <t xml:space="preserve">324-32 PARK AVE          </t>
  </si>
  <si>
    <t xml:space="preserve">E S D PROPERTIES, LLC              </t>
  </si>
  <si>
    <t xml:space="preserve">1077 N BOYD PKWY         </t>
  </si>
  <si>
    <t xml:space="preserve">NORTH BRUNSWICK, NJ      </t>
  </si>
  <si>
    <t xml:space="preserve">114-20 W 4TH ST          </t>
  </si>
  <si>
    <t xml:space="preserve">    </t>
  </si>
  <si>
    <t xml:space="preserve">NORTH PLAINFIELD, N J    </t>
  </si>
  <si>
    <t xml:space="preserve">LAKEWOOD, NJ             </t>
  </si>
  <si>
    <t xml:space="preserve">305-09 MADISON AVE       </t>
  </si>
  <si>
    <t xml:space="preserve">DOUKEY LLC                         </t>
  </si>
  <si>
    <t xml:space="preserve">305 MADISON AVE          </t>
  </si>
  <si>
    <t xml:space="preserve">315-29 CENTRAL AVE       </t>
  </si>
  <si>
    <t xml:space="preserve">CITY OF PLAINFIELD                 </t>
  </si>
  <si>
    <t xml:space="preserve">515 WATCHUNG AVE         </t>
  </si>
  <si>
    <t xml:space="preserve">WATCHUNG, N J            </t>
  </si>
  <si>
    <t xml:space="preserve">501-57 W 3RD ST          </t>
  </si>
  <si>
    <t xml:space="preserve">HOUSING AUTHORITY OF PLAINFIELD    </t>
  </si>
  <si>
    <t xml:space="preserve">510 E FRONT ST           </t>
  </si>
  <si>
    <t xml:space="preserve">600-38 SO 2ND ST         </t>
  </si>
  <si>
    <t xml:space="preserve">SCOTCH PLAINS, NJ        </t>
  </si>
  <si>
    <t xml:space="preserve">648-50 SO 2ND ST         </t>
  </si>
  <si>
    <t xml:space="preserve">JACKSON, TYNA L                    </t>
  </si>
  <si>
    <t xml:space="preserve">652 SO 2ND ST            </t>
  </si>
  <si>
    <t xml:space="preserve">656 SO 2ND ST            </t>
  </si>
  <si>
    <t xml:space="preserve">658-60 SO 2ND ST         </t>
  </si>
  <si>
    <t xml:space="preserve">515 WATCHUNG AVENUE      </t>
  </si>
  <si>
    <t xml:space="preserve">171 NJ0173 STE #201      </t>
  </si>
  <si>
    <t xml:space="preserve">ASBURY PARK, NJ          </t>
  </si>
  <si>
    <t xml:space="preserve">SOUTH SECOND ST PLAINFIELD REALTY  </t>
  </si>
  <si>
    <t>C0001</t>
  </si>
  <si>
    <t xml:space="preserve">800-1000 SO 2ND STREET   </t>
  </si>
  <si>
    <t xml:space="preserve">1000 SOUTH 2ND STREET    </t>
  </si>
  <si>
    <t xml:space="preserve">1202-1212 SO 2ND ST      </t>
  </si>
  <si>
    <t xml:space="preserve">C/O LIGHTOWER FIBER NETWORKS       </t>
  </si>
  <si>
    <t xml:space="preserve">80 CENTRAL STREET        </t>
  </si>
  <si>
    <t xml:space="preserve">BOXBOROUGH, MA           </t>
  </si>
  <si>
    <t xml:space="preserve">1214-44 SO 2ND ST        </t>
  </si>
  <si>
    <t xml:space="preserve">PSE&amp;G CO - ATTN NANCY FIERRO       </t>
  </si>
  <si>
    <t xml:space="preserve">80 PARK PL TAXES-6TH FLR </t>
  </si>
  <si>
    <t xml:space="preserve">NEWARK, N J              </t>
  </si>
  <si>
    <t xml:space="preserve">1300-1598 SO 2ND ST      </t>
  </si>
  <si>
    <t xml:space="preserve">1300 SOUTH SECOND ST ASSOC L P     </t>
  </si>
  <si>
    <t xml:space="preserve">P O BOX 199              </t>
  </si>
  <si>
    <t xml:space="preserve">SUMMIT, N J              </t>
  </si>
  <si>
    <t xml:space="preserve">1600-12 SO 2ND ST        </t>
  </si>
  <si>
    <t xml:space="preserve">SOMERSET, NJ             </t>
  </si>
  <si>
    <t xml:space="preserve">1701-1761 W FRONT STREET </t>
  </si>
  <si>
    <t xml:space="preserve">ROCK STAR PROPERTIES, LLC          </t>
  </si>
  <si>
    <t xml:space="preserve">1701 W FRONT ST          </t>
  </si>
  <si>
    <t xml:space="preserve">1309-1645 W FRONT ST     </t>
  </si>
  <si>
    <t xml:space="preserve">DSC OF NEWARK ET AL                </t>
  </si>
  <si>
    <t xml:space="preserve">70 BLANCHARD ST          </t>
  </si>
  <si>
    <t xml:space="preserve">1659-65 W FRONT ST       </t>
  </si>
  <si>
    <t xml:space="preserve">KAD REALTY CO                      </t>
  </si>
  <si>
    <t xml:space="preserve">109-15 ROCK AVE          </t>
  </si>
  <si>
    <t xml:space="preserve">ROBERT &amp; MICHAEL WOJCIK, LLC       </t>
  </si>
  <si>
    <t xml:space="preserve">P.O. BOX 947             </t>
  </si>
  <si>
    <t xml:space="preserve">1201-07 W FRONT ST       </t>
  </si>
  <si>
    <t xml:space="preserve">SOLANO, EDGAR                      </t>
  </si>
  <si>
    <t xml:space="preserve">913-15 W FRONT ST        </t>
  </si>
  <si>
    <t xml:space="preserve">913-915 PROPERTY LLC               </t>
  </si>
  <si>
    <t xml:space="preserve">915A W FRONT ST          </t>
  </si>
  <si>
    <t xml:space="preserve">WATCHUNG, NJ             </t>
  </si>
  <si>
    <t xml:space="preserve">WAYNE, N J               </t>
  </si>
  <si>
    <t xml:space="preserve">801-11 W FRONT ST        </t>
  </si>
  <si>
    <t xml:space="preserve">SHIN SOUK LEE REAL ESTATE, INC     </t>
  </si>
  <si>
    <t xml:space="preserve">801 WEST FRONT ST        </t>
  </si>
  <si>
    <t xml:space="preserve">SOMERVILLE, NJ           </t>
  </si>
  <si>
    <t xml:space="preserve">122-30 OXFORD PLACE      </t>
  </si>
  <si>
    <t xml:space="preserve">17 W CLIFF ST.           </t>
  </si>
  <si>
    <t xml:space="preserve">745-55 W FRONT ST        </t>
  </si>
  <si>
    <t xml:space="preserve">DAGERDON REALTY CORP               </t>
  </si>
  <si>
    <t xml:space="preserve">PO BOX 1446              </t>
  </si>
  <si>
    <t xml:space="preserve">116 WAYNEWOOD PARK, LLC            </t>
  </si>
  <si>
    <t xml:space="preserve">P O BOX 1454             </t>
  </si>
  <si>
    <t xml:space="preserve">JERSEY CITY, NJ          </t>
  </si>
  <si>
    <t xml:space="preserve">611-19 W FRONT ST        </t>
  </si>
  <si>
    <t xml:space="preserve">GIANT REALTY, LLC                  </t>
  </si>
  <si>
    <t xml:space="preserve">2055 AMWELL RD           </t>
  </si>
  <si>
    <t xml:space="preserve">SOMERSET, N J            </t>
  </si>
  <si>
    <t xml:space="preserve">605-609 W FRONT ST       </t>
  </si>
  <si>
    <t xml:space="preserve">5089 BROADWAY            </t>
  </si>
  <si>
    <t xml:space="preserve">NEW YORK, NY             </t>
  </si>
  <si>
    <t xml:space="preserve">601-03 W FRONT ST        </t>
  </si>
  <si>
    <t xml:space="preserve">603 W FRONT STREET       </t>
  </si>
  <si>
    <t xml:space="preserve">115-33 WAYNEWOOD PARK    </t>
  </si>
  <si>
    <t xml:space="preserve">2055 AMWELL ROAD         </t>
  </si>
  <si>
    <t xml:space="preserve">547-53 W FRONT ST        </t>
  </si>
  <si>
    <t xml:space="preserve">MARINA SANAD LLC                   </t>
  </si>
  <si>
    <t xml:space="preserve">431 ERICO AVENUE         </t>
  </si>
  <si>
    <t xml:space="preserve">ELIZABETH, NJ            </t>
  </si>
  <si>
    <t xml:space="preserve">507-11 W FRONT ST        </t>
  </si>
  <si>
    <t xml:space="preserve">CHANCAHUIRE,RAFAEL-BALDERA,MARIA M </t>
  </si>
  <si>
    <t xml:space="preserve">500-04 W 2ND ST          </t>
  </si>
  <si>
    <t xml:space="preserve">138 W 2ND ST             </t>
  </si>
  <si>
    <t xml:space="preserve">129-31 ELMWOOD PL        </t>
  </si>
  <si>
    <t xml:space="preserve">125-27 ELMWOOD PL        </t>
  </si>
  <si>
    <t xml:space="preserve">430-32 W 2ND ST          </t>
  </si>
  <si>
    <t xml:space="preserve">HANNAH, ALVIN C &amp; VENUS            </t>
  </si>
  <si>
    <t xml:space="preserve">430 W 2ND ST             </t>
  </si>
  <si>
    <t xml:space="preserve">434 W 2ND ST             </t>
  </si>
  <si>
    <t xml:space="preserve">JOHNSON DESMANA                    </t>
  </si>
  <si>
    <t xml:space="preserve">312 JOHNSTON AVE         </t>
  </si>
  <si>
    <t xml:space="preserve">UNION, NJ                </t>
  </si>
  <si>
    <t xml:space="preserve">MONROE, NJ               </t>
  </si>
  <si>
    <t xml:space="preserve">107-09 LIBERTY ST        </t>
  </si>
  <si>
    <t xml:space="preserve">BIRBAL, PREM P                     </t>
  </si>
  <si>
    <t xml:space="preserve">944 W 7TH ST             </t>
  </si>
  <si>
    <t xml:space="preserve">401-03 W FRONT ST        </t>
  </si>
  <si>
    <t xml:space="preserve">BONAY ACQUISITION INC              </t>
  </si>
  <si>
    <t xml:space="preserve">PO BOX 7035              </t>
  </si>
  <si>
    <t xml:space="preserve">109-19 NEW ST            </t>
  </si>
  <si>
    <t xml:space="preserve">109 NEW LLC                        </t>
  </si>
  <si>
    <t xml:space="preserve">P.O. BOX 8685            </t>
  </si>
  <si>
    <t xml:space="preserve">413-21 W 2ND ST          </t>
  </si>
  <si>
    <t>E SHAKIR T/A WIGGINS AUTO BODY SHOP</t>
  </si>
  <si>
    <t xml:space="preserve">114 SUMNER AVE           </t>
  </si>
  <si>
    <t xml:space="preserve">407-11 W 2ND ST          </t>
  </si>
  <si>
    <t>ALLEGHENY E CONFERENCE ASSC.OF 7DAY</t>
  </si>
  <si>
    <t xml:space="preserve">228 POND PLACE           </t>
  </si>
  <si>
    <t xml:space="preserve">301-23 W 2ND ST          </t>
  </si>
  <si>
    <t xml:space="preserve">225-31 W 2ND ST          </t>
  </si>
  <si>
    <t xml:space="preserve">211-23 W 2ND ST          </t>
  </si>
  <si>
    <t xml:space="preserve">PSE&amp;G CO   - ATTN; NANCY FIERRO    </t>
  </si>
  <si>
    <t>80 PARK PL TAXES- 6TH FLR</t>
  </si>
  <si>
    <t xml:space="preserve">675 GARFIELD AVE         </t>
  </si>
  <si>
    <t xml:space="preserve">214-24 PARK AVENUE       </t>
  </si>
  <si>
    <t xml:space="preserve">CERTIFIED GREEN PROP.1,LLC         </t>
  </si>
  <si>
    <t xml:space="preserve">P O BOX 8685             </t>
  </si>
  <si>
    <t xml:space="preserve">101-07 CENTRAL AVE       </t>
  </si>
  <si>
    <t xml:space="preserve">315-17 W FRONT ST        </t>
  </si>
  <si>
    <t xml:space="preserve">PALACIOS, TAUFIK                   </t>
  </si>
  <si>
    <t xml:space="preserve">311-317 WEST FRONT ST    </t>
  </si>
  <si>
    <t xml:space="preserve">311-13 W FRONT ST        </t>
  </si>
  <si>
    <t xml:space="preserve">311-317 W FRONT ST       </t>
  </si>
  <si>
    <t xml:space="preserve">109-27 CENTRAL AVE       </t>
  </si>
  <si>
    <t xml:space="preserve">301-05 W FRONT ST        </t>
  </si>
  <si>
    <t xml:space="preserve">PLAINFIELD MADISON PARK, LLC       </t>
  </si>
  <si>
    <t xml:space="preserve">P.O. BOX 787             </t>
  </si>
  <si>
    <t xml:space="preserve">322-24 W FRONT ST        </t>
  </si>
  <si>
    <t xml:space="preserve">MAP FRONT LLC                      </t>
  </si>
  <si>
    <t xml:space="preserve">5001 HADLEY RD           </t>
  </si>
  <si>
    <t xml:space="preserve">SOUTH PLAINFIELD, NJ     </t>
  </si>
  <si>
    <t xml:space="preserve">8 GROVE ST               </t>
  </si>
  <si>
    <t xml:space="preserve">12-16 GROVE ST           </t>
  </si>
  <si>
    <t xml:space="preserve">12 GROVE ST LLC                    </t>
  </si>
  <si>
    <t xml:space="preserve">13 SOMERSET ST           </t>
  </si>
  <si>
    <t xml:space="preserve">BOGART COMMERCE URBAN RENEWAL, LLC </t>
  </si>
  <si>
    <t xml:space="preserve">3 EAST STOW ROAD, #100   </t>
  </si>
  <si>
    <t xml:space="preserve">MARLTON, NJ              </t>
  </si>
  <si>
    <t xml:space="preserve">102-08 W FRONT ST        </t>
  </si>
  <si>
    <t>HORIZON AT PLAINFIELD URBAN RENEWAL</t>
  </si>
  <si>
    <t xml:space="preserve">MARLTON, N J             </t>
  </si>
  <si>
    <t xml:space="preserve">110 W FRONT ST           </t>
  </si>
  <si>
    <t xml:space="preserve">112-14 W FRONT ST        </t>
  </si>
  <si>
    <t xml:space="preserve">116-20 W FRONT ST        </t>
  </si>
  <si>
    <t xml:space="preserve">BOGART COMMERCE URBAN RENEWAL,LLC  </t>
  </si>
  <si>
    <t xml:space="preserve">122-28 W FRONT STREET    </t>
  </si>
  <si>
    <t>R122-28 WEST FRONT STREET</t>
  </si>
  <si>
    <t xml:space="preserve">BOGART COMMERCE URBAN RENEWAL      </t>
  </si>
  <si>
    <t xml:space="preserve">130 WEST FRONT STRETT    </t>
  </si>
  <si>
    <t xml:space="preserve">130 WEST FRONT STREET    </t>
  </si>
  <si>
    <t xml:space="preserve">122-28 W FRONT ST        </t>
  </si>
  <si>
    <t xml:space="preserve">130-38 W FRONT ST        </t>
  </si>
  <si>
    <t xml:space="preserve">140-44 W FRONT ST        </t>
  </si>
  <si>
    <t xml:space="preserve">1033 SPRINGFIELD AVE     </t>
  </si>
  <si>
    <t xml:space="preserve">CRANFORD, NJ             </t>
  </si>
  <si>
    <t xml:space="preserve">LJ REAL PROPERTY, INC              </t>
  </si>
  <si>
    <t xml:space="preserve">7 HOUSTEN CT             </t>
  </si>
  <si>
    <t xml:space="preserve">MARTINSVILLE, N J        </t>
  </si>
  <si>
    <t xml:space="preserve">GIAMO, JAMES                       </t>
  </si>
  <si>
    <t xml:space="preserve">1955 LAKE AVENUE         </t>
  </si>
  <si>
    <t xml:space="preserve">SCOTCH PLAINS, N J       </t>
  </si>
  <si>
    <t xml:space="preserve">410-20 E 3RD ST          </t>
  </si>
  <si>
    <t xml:space="preserve">422-26 E 3RD ST          </t>
  </si>
  <si>
    <t>PLAINFIELD MUNICIPAL UTILITIES AUTH</t>
  </si>
  <si>
    <t xml:space="preserve">127 ROOSEVELT AVE        </t>
  </si>
  <si>
    <t xml:space="preserve">505 SOMERSET ST          </t>
  </si>
  <si>
    <t xml:space="preserve">310-24 RICHMOND ST       </t>
  </si>
  <si>
    <t xml:space="preserve">PLAINFIELD MUNICIPAL UTILITIES     </t>
  </si>
  <si>
    <t xml:space="preserve">433-35 COTTAGE PL        </t>
  </si>
  <si>
    <t xml:space="preserve">427-31 COTTAGE PL        </t>
  </si>
  <si>
    <t xml:space="preserve">419-21 COTTAGE PL        </t>
  </si>
  <si>
    <t xml:space="preserve">L J REAL PROPERTY, LLC             </t>
  </si>
  <si>
    <t xml:space="preserve">7 HOUSTEN COURT          </t>
  </si>
  <si>
    <t xml:space="preserve">343-47 COTTAGE PL        </t>
  </si>
  <si>
    <t xml:space="preserve">24 SOUTH AVE             </t>
  </si>
  <si>
    <t xml:space="preserve">412-14 E 2ND ST          </t>
  </si>
  <si>
    <t xml:space="preserve">CHARLES, CARL                      </t>
  </si>
  <si>
    <t xml:space="preserve">416 E 2ND ST             </t>
  </si>
  <si>
    <t xml:space="preserve">412-414 E 2ND ST         </t>
  </si>
  <si>
    <t xml:space="preserve">218-26 RICHMOND ST       </t>
  </si>
  <si>
    <t xml:space="preserve">CROWN REAL ESTATE HOLDING, INC     </t>
  </si>
  <si>
    <t xml:space="preserve">27 PRINCE STREET         </t>
  </si>
  <si>
    <t xml:space="preserve">ELIZABETH NJ             </t>
  </si>
  <si>
    <t xml:space="preserve">347-423 E 3RD ST         </t>
  </si>
  <si>
    <t xml:space="preserve">CROWN REAL ESTATE HOLDINGS INC     </t>
  </si>
  <si>
    <t xml:space="preserve">313-31 E 3RD ST          </t>
  </si>
  <si>
    <t xml:space="preserve">210-32 E 3RD ST          </t>
  </si>
  <si>
    <t xml:space="preserve">230 EAST THIRD STREET LLC          </t>
  </si>
  <si>
    <t xml:space="preserve">240 E THIRD ST           </t>
  </si>
  <si>
    <t xml:space="preserve">234-42 E 3RD ST          </t>
  </si>
  <si>
    <t xml:space="preserve">LOO, FELIX                         </t>
  </si>
  <si>
    <t xml:space="preserve">22 POETS CIRCLE          </t>
  </si>
  <si>
    <t xml:space="preserve">STATEN ISLAND, NY        </t>
  </si>
  <si>
    <t xml:space="preserve">244-46 E 3RD ST          </t>
  </si>
  <si>
    <t xml:space="preserve">CHESAPEAKE CENTER CORP             </t>
  </si>
  <si>
    <t xml:space="preserve">UNION COUNTY COLLEGE               </t>
  </si>
  <si>
    <t xml:space="preserve">232-48 E 2ND ST          </t>
  </si>
  <si>
    <t xml:space="preserve">250-62 E FRONT ST        </t>
  </si>
  <si>
    <t xml:space="preserve">AREC 9,LLC                         </t>
  </si>
  <si>
    <t xml:space="preserve">P.O. BOX 29046 AVE       </t>
  </si>
  <si>
    <t xml:space="preserve">PHOENIX, AZ              </t>
  </si>
  <si>
    <t xml:space="preserve">P.O. BOX  8685           </t>
  </si>
  <si>
    <t xml:space="preserve">31 WHITTIER ST           </t>
  </si>
  <si>
    <t xml:space="preserve">219-25 E 2ND ST          </t>
  </si>
  <si>
    <t xml:space="preserve">SANGHA REALTY, LLC                 </t>
  </si>
  <si>
    <t xml:space="preserve">CARTERET, N J            </t>
  </si>
  <si>
    <t xml:space="preserve">216-26 E 2ND ST          </t>
  </si>
  <si>
    <t xml:space="preserve">UNITED STATES POSTAL SERVICE       </t>
  </si>
  <si>
    <t xml:space="preserve">2 HUDSON PL              </t>
  </si>
  <si>
    <t xml:space="preserve">HOBOKEN, N J             </t>
  </si>
  <si>
    <t xml:space="preserve">PLAINFIELD NJ            </t>
  </si>
  <si>
    <t xml:space="preserve">146-52 NORTH AVE         </t>
  </si>
  <si>
    <t xml:space="preserve">MORAN, FANNY TEODORA               </t>
  </si>
  <si>
    <t xml:space="preserve">146-152 NORTH AVE        </t>
  </si>
  <si>
    <t xml:space="preserve">114-20 E 2ND ST          </t>
  </si>
  <si>
    <t xml:space="preserve">114 EAST SECOND STREET, LLC        </t>
  </si>
  <si>
    <t xml:space="preserve">114 E 2ND ST             </t>
  </si>
  <si>
    <t xml:space="preserve">122-28 E 2ND ST          </t>
  </si>
  <si>
    <t xml:space="preserve">EAST SECOND STREET ASSOC., LLC     </t>
  </si>
  <si>
    <t xml:space="preserve">P O BOX 351              </t>
  </si>
  <si>
    <t xml:space="preserve">PLAINFIELD, N.J.         </t>
  </si>
  <si>
    <t xml:space="preserve">130-34 E 2ND ST          </t>
  </si>
  <si>
    <t xml:space="preserve">GAVETT PLACE PROPERTIES, L L C     </t>
  </si>
  <si>
    <t xml:space="preserve">136-40 E 2ND ST          </t>
  </si>
  <si>
    <t xml:space="preserve">JERSEY CITY, N J         </t>
  </si>
  <si>
    <t xml:space="preserve">100-06 E FRONT ST        </t>
  </si>
  <si>
    <t xml:space="preserve">100 EAST FRONT LLC                 </t>
  </si>
  <si>
    <t xml:space="preserve">P.O.BOX 8685             </t>
  </si>
  <si>
    <t xml:space="preserve">EAST BRUNSWICK, NJ       </t>
  </si>
  <si>
    <t xml:space="preserve">P.O BOX  8685            </t>
  </si>
  <si>
    <t xml:space="preserve">180-84 E FRONT ST        </t>
  </si>
  <si>
    <t xml:space="preserve">154 E FRONT,LLC&amp;JD154E FRONT,LLC   </t>
  </si>
  <si>
    <t xml:space="preserve">PISCATAWAY, NJ           </t>
  </si>
  <si>
    <t xml:space="preserve">141-57 E 2ND ST          </t>
  </si>
  <si>
    <t xml:space="preserve">PLAINFIELD,N J           </t>
  </si>
  <si>
    <t xml:space="preserve">139 E 2ND ST             </t>
  </si>
  <si>
    <t xml:space="preserve">JD 154 E FRONT, L L C              </t>
  </si>
  <si>
    <t xml:space="preserve">115-37 E 2ND ST          </t>
  </si>
  <si>
    <t>C0101</t>
  </si>
  <si>
    <t xml:space="preserve">400 E FRONT ST UNIT 101  </t>
  </si>
  <si>
    <t xml:space="preserve">WILLIAMS, BARRY                    </t>
  </si>
  <si>
    <t xml:space="preserve">902-06 NORTH AVE         </t>
  </si>
  <si>
    <t xml:space="preserve">FINNE, ROBERT                      </t>
  </si>
  <si>
    <t xml:space="preserve">180 OAKWOOD RD           </t>
  </si>
  <si>
    <t xml:space="preserve">768-900 NORTH AVE        </t>
  </si>
  <si>
    <t xml:space="preserve">768-900 NORTH AVE LLC              </t>
  </si>
  <si>
    <t xml:space="preserve">122 HADASSAH LN          </t>
  </si>
  <si>
    <t xml:space="preserve">760-66 NORTH AVE         </t>
  </si>
  <si>
    <t xml:space="preserve">MASTROIANNI, JOHN &amp; RALPH          </t>
  </si>
  <si>
    <t xml:space="preserve">421 MOUNTAIN AVE         </t>
  </si>
  <si>
    <t xml:space="preserve">712-58 NORTH AVE         </t>
  </si>
  <si>
    <t xml:space="preserve">712-58 NORTH AVE., LLC             </t>
  </si>
  <si>
    <t xml:space="preserve">28 WOODLAND RD           </t>
  </si>
  <si>
    <t xml:space="preserve">MAPLEWOOD, NJ            </t>
  </si>
  <si>
    <t xml:space="preserve">NEWARK, NJ               </t>
  </si>
  <si>
    <t xml:space="preserve">700-10 NORTH AVE         </t>
  </si>
  <si>
    <t xml:space="preserve">S &amp; R REALTY ASSOC, LLC            </t>
  </si>
  <si>
    <t xml:space="preserve">1325 TERRILL RD          </t>
  </si>
  <si>
    <t xml:space="preserve">1134-42 NORTH AVE        </t>
  </si>
  <si>
    <t xml:space="preserve">FLECK REALTY CORP                  </t>
  </si>
  <si>
    <t xml:space="preserve">9 BRANDYWINE COURT       </t>
  </si>
  <si>
    <t xml:space="preserve">1130-32 NORTH AVE        </t>
  </si>
  <si>
    <t xml:space="preserve">VENTRIGLIA, PETER                  </t>
  </si>
  <si>
    <t xml:space="preserve">1415 WATCHUNG AVE        </t>
  </si>
  <si>
    <t xml:space="preserve">1128 NORTH AVE           </t>
  </si>
  <si>
    <t xml:space="preserve">S &amp; S PROPERTIES LLC               </t>
  </si>
  <si>
    <t xml:space="preserve">1120-26 NORTH AVE        </t>
  </si>
  <si>
    <t xml:space="preserve">1633 BROADWAY            </t>
  </si>
  <si>
    <t xml:space="preserve">NEW YORK, N  Y           </t>
  </si>
  <si>
    <t xml:space="preserve">1112-18 NORTH AVE        </t>
  </si>
  <si>
    <t>POTTER, ANTHONY M C/O PROPERTY MNGT</t>
  </si>
  <si>
    <t xml:space="preserve">7340 FULTON AVENUE       </t>
  </si>
  <si>
    <t xml:space="preserve">NORTH HOLLYWOOD, CA      </t>
  </si>
  <si>
    <t xml:space="preserve">926-1018 NORTH AVE       </t>
  </si>
  <si>
    <t xml:space="preserve">PETROZIELLO, CARMINE C/O ONO IND.  </t>
  </si>
  <si>
    <t xml:space="preserve">PO BOX 150               </t>
  </si>
  <si>
    <t xml:space="preserve">ONO, PA                  </t>
  </si>
  <si>
    <t xml:space="preserve">1200-10 NORTH AVE        </t>
  </si>
  <si>
    <t xml:space="preserve">TIERNO, JOSEPH A &amp; ANN FRANCES     </t>
  </si>
  <si>
    <t xml:space="preserve">P.O. BOX 2984            </t>
  </si>
  <si>
    <t xml:space="preserve">1220-26 NORTH AVE        </t>
  </si>
  <si>
    <t xml:space="preserve">NORTH AVENUE DEVELOPERS,LLC        </t>
  </si>
  <si>
    <t xml:space="preserve">1220-1242 NORTH AVE      </t>
  </si>
  <si>
    <t xml:space="preserve">1260-90 NORTH AVE        </t>
  </si>
  <si>
    <t xml:space="preserve">1280 NORTH AVENUE ASSOCIATES LLC   </t>
  </si>
  <si>
    <t xml:space="preserve">300 KUELLER RD           </t>
  </si>
  <si>
    <t xml:space="preserve">CLIFTON, NJ              </t>
  </si>
  <si>
    <t xml:space="preserve">229-39 E 5TH ST          </t>
  </si>
  <si>
    <t xml:space="preserve">CARDOSO, ANTONIO J                 </t>
  </si>
  <si>
    <t xml:space="preserve">11 CONGER WAY            </t>
  </si>
  <si>
    <t xml:space="preserve">CLARK, NJ                </t>
  </si>
  <si>
    <t xml:space="preserve">209-15 E 5TH ST          </t>
  </si>
  <si>
    <t>209-215 E 5TH ST ASSOC,LLC % GARCES</t>
  </si>
  <si>
    <t xml:space="preserve">P.O. BOX 647             </t>
  </si>
  <si>
    <t xml:space="preserve">PALM CITY, FL            </t>
  </si>
  <si>
    <t xml:space="preserve">205-07 E 5TH ST          </t>
  </si>
  <si>
    <t>205-207 E 5TH ST ASSOC,LLC % GARCES</t>
  </si>
  <si>
    <t xml:space="preserve">409-11 WATCHUNG AVE      </t>
  </si>
  <si>
    <t>GATSBY ENTERPRISES INC C/O JON GRAY</t>
  </si>
  <si>
    <t xml:space="preserve">405-07 WATCHUNG AVE      </t>
  </si>
  <si>
    <t xml:space="preserve">ADONAI PROPERTY LLC                </t>
  </si>
  <si>
    <t xml:space="preserve">401-03 WATCHUNG AVE      </t>
  </si>
  <si>
    <t xml:space="preserve">401 WATCHUNG AVE., LLC             </t>
  </si>
  <si>
    <t xml:space="preserve">204-10 COURT PL          </t>
  </si>
  <si>
    <t xml:space="preserve">210 COURT PLACE, INC               </t>
  </si>
  <si>
    <t xml:space="preserve">210 COURT PLACE          </t>
  </si>
  <si>
    <t xml:space="preserve">212 COURT PL             </t>
  </si>
  <si>
    <t xml:space="preserve">ESPINOZA,JOSE                      </t>
  </si>
  <si>
    <t xml:space="preserve">214-16 COURT PL          </t>
  </si>
  <si>
    <t xml:space="preserve">OBUKOWHO, YVONNE                   </t>
  </si>
  <si>
    <t xml:space="preserve">218-32 COURT PL          </t>
  </si>
  <si>
    <t xml:space="preserve">ZACKOWITZ, HARRY                   </t>
  </si>
  <si>
    <t xml:space="preserve">911 RIVER BIRCH CIRCLE   </t>
  </si>
  <si>
    <t xml:space="preserve">MIDDLETOWN, DE           </t>
  </si>
  <si>
    <t xml:space="preserve">222-24 E 5TH ST          </t>
  </si>
  <si>
    <t xml:space="preserve">STEP ONE ACADEMY, LLC              </t>
  </si>
  <si>
    <t xml:space="preserve">54 SULLIVAN WAY          </t>
  </si>
  <si>
    <t xml:space="preserve">314-22 E 4TH ST          </t>
  </si>
  <si>
    <t xml:space="preserve">PATTI, NELLO &amp; POSADAS, LOUIS      </t>
  </si>
  <si>
    <t>362 SPOTS WOOD ENG TOWNRD</t>
  </si>
  <si>
    <t xml:space="preserve">412 E 4TH ST             </t>
  </si>
  <si>
    <t xml:space="preserve">CAHUEC-PEREZ, ARNULFO              </t>
  </si>
  <si>
    <t xml:space="preserve">CHURCH OF THE LIVING GOD           </t>
  </si>
  <si>
    <t xml:space="preserve">430-36 E 4TH ST          </t>
  </si>
  <si>
    <t xml:space="preserve">434 E 4TH ST PO BOX 5033 </t>
  </si>
  <si>
    <t xml:space="preserve">BROOKLYN, NY             </t>
  </si>
  <si>
    <t xml:space="preserve">NO PLAINFIELD, NJ        </t>
  </si>
  <si>
    <t xml:space="preserve">FANWOOD, N J             </t>
  </si>
  <si>
    <t xml:space="preserve">1101-07 SOUTH AVE        </t>
  </si>
  <si>
    <t xml:space="preserve">BELVIDERE RLTY ASSOC, L L C        </t>
  </si>
  <si>
    <t xml:space="preserve">1127-45 SOUTH AVE        </t>
  </si>
  <si>
    <t xml:space="preserve">WALGREEN EASTERN CO, INC           </t>
  </si>
  <si>
    <t>P O BOX 1159 C/O TAX DEPT</t>
  </si>
  <si>
    <t xml:space="preserve">DEERFIELD, IL            </t>
  </si>
  <si>
    <t xml:space="preserve">1327-33 SOUTH AVE        </t>
  </si>
  <si>
    <t xml:space="preserve">TOP SHINE LLC                      </t>
  </si>
  <si>
    <t xml:space="preserve">57 RESERVOIR AVE, L L C            </t>
  </si>
  <si>
    <t xml:space="preserve">49 WOODBRIDGE AVE        </t>
  </si>
  <si>
    <t xml:space="preserve">HIGHLAND PARK, NJ        </t>
  </si>
  <si>
    <t xml:space="preserve">725-29 SOUTH AVE         </t>
  </si>
  <si>
    <t xml:space="preserve">735-37 SOUTH AVE         </t>
  </si>
  <si>
    <t xml:space="preserve">739-41 SOUTH AVE         </t>
  </si>
  <si>
    <t xml:space="preserve">743-55 SOUTH AVE         </t>
  </si>
  <si>
    <t xml:space="preserve">PO BOX 8685              </t>
  </si>
  <si>
    <t xml:space="preserve">883-925 SOUTH AVE        </t>
  </si>
  <si>
    <t xml:space="preserve">911 SOUTH LLC                      </t>
  </si>
  <si>
    <t xml:space="preserve">667-69 SO 2ND ST         </t>
  </si>
  <si>
    <t xml:space="preserve">629-31 SO 2ND ST         </t>
  </si>
  <si>
    <t xml:space="preserve">TOKHA, TANKWA                      </t>
  </si>
  <si>
    <t xml:space="preserve">629-631 S 2ND ST         </t>
  </si>
  <si>
    <t xml:space="preserve">621 SO 2ND ST            </t>
  </si>
  <si>
    <t xml:space="preserve">ABRIL, JAIME &amp; AZUCENA             </t>
  </si>
  <si>
    <t xml:space="preserve">619-21 S 2ND ST          </t>
  </si>
  <si>
    <t xml:space="preserve">619 SO 2ND ST            </t>
  </si>
  <si>
    <t xml:space="preserve">200-22 PLAINFIELD AVENUE </t>
  </si>
  <si>
    <t xml:space="preserve">517 W 4TH ST, PO BOX 286 </t>
  </si>
  <si>
    <t xml:space="preserve">227-29 GRANT AVE         </t>
  </si>
  <si>
    <t xml:space="preserve">EBURY RE LLC                       </t>
  </si>
  <si>
    <t xml:space="preserve">PO BOX 281               </t>
  </si>
  <si>
    <t xml:space="preserve">RYE, NY                  </t>
  </si>
  <si>
    <t xml:space="preserve">219-21 GRANT AVE         </t>
  </si>
  <si>
    <t xml:space="preserve">ROSARIO, YAMIRI                    </t>
  </si>
  <si>
    <t xml:space="preserve">219-221 GRANT AVE        </t>
  </si>
  <si>
    <t xml:space="preserve">201-09 GRANT AVE         </t>
  </si>
  <si>
    <t xml:space="preserve">GRAHAM, MELROSE                    </t>
  </si>
  <si>
    <t xml:space="preserve">201-209 GRANT AVE        </t>
  </si>
  <si>
    <t xml:space="preserve">1700-1804 W FRONT ST     </t>
  </si>
  <si>
    <t xml:space="preserve">PLAINFIELD BOARD OF EDUCATION      </t>
  </si>
  <si>
    <t xml:space="preserve">1200 MYRTLE AVE          </t>
  </si>
  <si>
    <t xml:space="preserve">41-43 ROCK AVE           </t>
  </si>
  <si>
    <t xml:space="preserve">41 ROCK AVE LLC                    </t>
  </si>
  <si>
    <t xml:space="preserve">1701-03 MYRTLE AVE       </t>
  </si>
  <si>
    <t xml:space="preserve">TOWLER,DAVID                       </t>
  </si>
  <si>
    <t xml:space="preserve">87-95 ROCK AVE           </t>
  </si>
  <si>
    <t xml:space="preserve">75-85 ROCK AVE           </t>
  </si>
  <si>
    <t xml:space="preserve">PLAINFIELD HUMANE SOCIETY INC      </t>
  </si>
  <si>
    <t xml:space="preserve">75 ROCK AVE              </t>
  </si>
  <si>
    <t xml:space="preserve">1636-66 W FRONT ST       </t>
  </si>
  <si>
    <t xml:space="preserve">PSE&amp;G CO - ATTN: NANCY FIERRO      </t>
  </si>
  <si>
    <t xml:space="preserve">1628-30 W FRONT ST       </t>
  </si>
  <si>
    <t xml:space="preserve">RAMOS, ABRAHAM R &amp; MARIA V         </t>
  </si>
  <si>
    <t xml:space="preserve">1628 W FRONT ST          </t>
  </si>
  <si>
    <t xml:space="preserve">1632-34 W FRONT ST       </t>
  </si>
  <si>
    <t xml:space="preserve">FRONT PLAINFIELD LLC               </t>
  </si>
  <si>
    <t xml:space="preserve">23 WINDY HILL RD         </t>
  </si>
  <si>
    <t xml:space="preserve">METUCHEN, NJ             </t>
  </si>
  <si>
    <t xml:space="preserve">1508-20 W FRONT ST       </t>
  </si>
  <si>
    <t xml:space="preserve">1420-32 W FRONT ST       </t>
  </si>
  <si>
    <t xml:space="preserve">WEST FRONT HOLDINGS, LLC           </t>
  </si>
  <si>
    <t xml:space="preserve">385 KEARNY AVE           </t>
  </si>
  <si>
    <t xml:space="preserve">KEARNY, NJ               </t>
  </si>
  <si>
    <t xml:space="preserve">1434-48 W FRONT ST       </t>
  </si>
  <si>
    <t xml:space="preserve">KOLENSKI, ANTHONY                  </t>
  </si>
  <si>
    <t xml:space="preserve">1440 W FRONT ST          </t>
  </si>
  <si>
    <t xml:space="preserve">1404-10 W FRONT ST       </t>
  </si>
  <si>
    <t xml:space="preserve">O'MALLEY, PETER                    </t>
  </si>
  <si>
    <t xml:space="preserve">513 NEW DURHAM RD        </t>
  </si>
  <si>
    <t xml:space="preserve">1018-20 W FRONT ST       </t>
  </si>
  <si>
    <t xml:space="preserve">MERCADO, DELFINE D &amp; GUADALUPE     </t>
  </si>
  <si>
    <t xml:space="preserve">1018 W. FRONT ST         </t>
  </si>
  <si>
    <t xml:space="preserve">520-32 NORTH AVE         </t>
  </si>
  <si>
    <t xml:space="preserve">REINCO, INC N J CORP               </t>
  </si>
  <si>
    <t xml:space="preserve">P O BOX 512              </t>
  </si>
  <si>
    <t xml:space="preserve">501-637 SOUTH AVE        </t>
  </si>
  <si>
    <t xml:space="preserve">A DITTI NJ CORP                    </t>
  </si>
  <si>
    <t xml:space="preserve">525 SOUTH AVE BOX 4506   </t>
  </si>
  <si>
    <t xml:space="preserve">PLAINIFIELD, N J         </t>
  </si>
  <si>
    <t xml:space="preserve">639-61 SOUTH AVE         </t>
  </si>
  <si>
    <t xml:space="preserve">400-04 WATCHUNG AVE      </t>
  </si>
  <si>
    <t xml:space="preserve">400 WATCHUNG AVE., LLC             </t>
  </si>
  <si>
    <t xml:space="preserve">288 NORTH BRAD ST        </t>
  </si>
  <si>
    <t xml:space="preserve">410-20 WATCHUNG AVE      </t>
  </si>
  <si>
    <t xml:space="preserve">422 WATCHUNG AVE         </t>
  </si>
  <si>
    <t xml:space="preserve">ADAY, ERNESTO                      </t>
  </si>
  <si>
    <t xml:space="preserve">PO BOX 5376              </t>
  </si>
  <si>
    <t xml:space="preserve">424-28 WATCHUNG AVE      </t>
  </si>
  <si>
    <t xml:space="preserve">ADAY, ERNESTO C/O R &amp; H SCHAEFER   </t>
  </si>
  <si>
    <t xml:space="preserve">P O BOX 5376             </t>
  </si>
  <si>
    <t xml:space="preserve">430-32 WATCHUNG AVE      </t>
  </si>
  <si>
    <t xml:space="preserve">MSD PROPERTIES LLC                 </t>
  </si>
  <si>
    <t xml:space="preserve">151 SECOND ST            </t>
  </si>
  <si>
    <t xml:space="preserve">434-38 WATCHUNG AVE      </t>
  </si>
  <si>
    <t xml:space="preserve">PARAMOUNT PROP 434 WATCHUNG, LLC   </t>
  </si>
  <si>
    <t xml:space="preserve">147-49 E 5TH ST          </t>
  </si>
  <si>
    <t xml:space="preserve">ANTHONY, DELOISE                   </t>
  </si>
  <si>
    <t xml:space="preserve">2880 LANTANA LAKES DR    </t>
  </si>
  <si>
    <t xml:space="preserve">JACKSONVILLE FL          </t>
  </si>
  <si>
    <t xml:space="preserve">143-45 E 5TH ST          </t>
  </si>
  <si>
    <t xml:space="preserve">DIAZ, RAMON, &amp; ALICE               </t>
  </si>
  <si>
    <t xml:space="preserve">145 E 5TH ST             </t>
  </si>
  <si>
    <t xml:space="preserve">139-41 E 5TH ST          </t>
  </si>
  <si>
    <t xml:space="preserve">PELECH, DAVID M                    </t>
  </si>
  <si>
    <t xml:space="preserve">421 CLEVELAND AVENUE     </t>
  </si>
  <si>
    <t xml:space="preserve">131-37 E 5TH ST          </t>
  </si>
  <si>
    <t xml:space="preserve">YANCHA, LUIS                       </t>
  </si>
  <si>
    <t xml:space="preserve">131-137 E 5TH ST         </t>
  </si>
  <si>
    <t xml:space="preserve">421-23 CLEVELAND AVE     </t>
  </si>
  <si>
    <t xml:space="preserve">421 CLEVELAND AVE        </t>
  </si>
  <si>
    <t xml:space="preserve">417-19 CLEVELAND AVE     </t>
  </si>
  <si>
    <t xml:space="preserve">GARAFFA, JOSEPH                    </t>
  </si>
  <si>
    <t xml:space="preserve">274 RT 206               </t>
  </si>
  <si>
    <t xml:space="preserve">S HILLBOROUGH, NJ        </t>
  </si>
  <si>
    <t xml:space="preserve">413-15 CLEVELAND AVE     </t>
  </si>
  <si>
    <t xml:space="preserve">STAFA CORP.                        </t>
  </si>
  <si>
    <t xml:space="preserve">413-415 CLEVELAND AVE    </t>
  </si>
  <si>
    <t xml:space="preserve">401-11 CLEVELAND AVE     </t>
  </si>
  <si>
    <t xml:space="preserve">117-27 E 7TH ST          </t>
  </si>
  <si>
    <t xml:space="preserve">GRACE EPISCOPAL CHURCH             </t>
  </si>
  <si>
    <t xml:space="preserve">110-28 EAST 5TH STREET   </t>
  </si>
  <si>
    <t xml:space="preserve">110 E FIFTH, LLC                   </t>
  </si>
  <si>
    <t xml:space="preserve">CROWN ASSOCIATES                   </t>
  </si>
  <si>
    <t xml:space="preserve">1584 U S HYWY, 22 EAST   </t>
  </si>
  <si>
    <t xml:space="preserve">115-17 E 5TH ST          </t>
  </si>
  <si>
    <t xml:space="preserve">413-17 PARK AVE          </t>
  </si>
  <si>
    <t xml:space="preserve">CHAMPION 413 PARK, L L C           </t>
  </si>
  <si>
    <t xml:space="preserve">108-10 E 4TH ST          </t>
  </si>
  <si>
    <t xml:space="preserve">PARAMOUNT PROPERTIES 108 E 4TH,LLC </t>
  </si>
  <si>
    <t xml:space="preserve">112-18 E 4TH ST          </t>
  </si>
  <si>
    <t xml:space="preserve">112 EAST FOURTH,LLC                </t>
  </si>
  <si>
    <t xml:space="preserve">P.O BOX 8685             </t>
  </si>
  <si>
    <t xml:space="preserve">124-28 E 4TH ST          </t>
  </si>
  <si>
    <t xml:space="preserve">314 WATCHUNG AVE         </t>
  </si>
  <si>
    <t xml:space="preserve">316 WATCHUNG, L L C                </t>
  </si>
  <si>
    <t xml:space="preserve">143-51 E 4TH ST          </t>
  </si>
  <si>
    <t>PARAMOUNT PROPERTIES 149 E 4TH, LLC</t>
  </si>
  <si>
    <t xml:space="preserve">109 4TH STREET LLC                 </t>
  </si>
  <si>
    <t xml:space="preserve">109-17 E 4TH ST          </t>
  </si>
  <si>
    <t xml:space="preserve">331-35 PARK AVE          </t>
  </si>
  <si>
    <t xml:space="preserve">SERRIES, BARRINGTON &amp; SYLVIA       </t>
  </si>
  <si>
    <t xml:space="preserve">32 WOODBINE AVE          </t>
  </si>
  <si>
    <t xml:space="preserve">307-13 PARK AVENUE       </t>
  </si>
  <si>
    <t xml:space="preserve">307-13 PARK AVENUE LLC             </t>
  </si>
  <si>
    <t xml:space="preserve">200 E MAIN ST            </t>
  </si>
  <si>
    <t xml:space="preserve">300-06 PLAINFIELD AV     </t>
  </si>
  <si>
    <t xml:space="preserve">BROWN, JESSE B                     </t>
  </si>
  <si>
    <t xml:space="preserve">300 PLAINFIELD AVE       </t>
  </si>
  <si>
    <t xml:space="preserve">750 W FRONT ST           </t>
  </si>
  <si>
    <t xml:space="preserve">FIALLOS,WASHINGTON FERNANDO A      </t>
  </si>
  <si>
    <t xml:space="preserve">MISSBRENNER FAMILY TRUST           </t>
  </si>
  <si>
    <t xml:space="preserve">462-66 W FRONT ST        </t>
  </si>
  <si>
    <t xml:space="preserve">QUINTERO, JOSE &amp; BLANCA            </t>
  </si>
  <si>
    <t xml:space="preserve">52 HARRISON AVE          </t>
  </si>
  <si>
    <t xml:space="preserve">468-70 W FRONT ST        </t>
  </si>
  <si>
    <t xml:space="preserve">23 WHIPPLE RD            </t>
  </si>
  <si>
    <t xml:space="preserve">426 W FRONT ST           </t>
  </si>
  <si>
    <t xml:space="preserve">PAREDES, JORGE &amp; MARIA             </t>
  </si>
  <si>
    <t xml:space="preserve">12 WASHINGTON AVE        </t>
  </si>
  <si>
    <t xml:space="preserve">107-263 W FRONT ST       </t>
  </si>
  <si>
    <t xml:space="preserve">UNION COUNTY IMPROVEMENT AUTHORITY </t>
  </si>
  <si>
    <t xml:space="preserve">10 CHERRY ST             </t>
  </si>
  <si>
    <t xml:space="preserve">202-04 W FRONT ST        </t>
  </si>
  <si>
    <t xml:space="preserve">T &amp; T FRONT STREET, LLC            </t>
  </si>
  <si>
    <t xml:space="preserve">1223 BROOKSIDE RD        </t>
  </si>
  <si>
    <t xml:space="preserve">18-24 MADISON AVE        </t>
  </si>
  <si>
    <t xml:space="preserve">424-32 COTTAGE PL        </t>
  </si>
  <si>
    <t xml:space="preserve">434-442 COTTAGE PL       </t>
  </si>
  <si>
    <t xml:space="preserve">181-95 E FRONT ST        </t>
  </si>
  <si>
    <t xml:space="preserve">UN-BLDG CORP                       </t>
  </si>
  <si>
    <t xml:space="preserve">20-34 SOMERSET ST        </t>
  </si>
  <si>
    <t xml:space="preserve">36-42 SOMERSET ST        </t>
  </si>
  <si>
    <t xml:space="preserve">HADZITHEODOROU, JOHN &amp; HELEN       </t>
  </si>
  <si>
    <t xml:space="preserve">40 SOMERSET ST STE 301   </t>
  </si>
  <si>
    <t xml:space="preserve">325-27 E FRONT ST        </t>
  </si>
  <si>
    <t xml:space="preserve">NEIGHBORHOOD HOUSE ASSOCIATION     </t>
  </si>
  <si>
    <t xml:space="preserve">644 WEST 4TH ST          </t>
  </si>
  <si>
    <t xml:space="preserve">111-27 W 4TH ST          </t>
  </si>
  <si>
    <t xml:space="preserve">123-25 W 5TH ST          </t>
  </si>
  <si>
    <t>513 ARLINGTON LLC&amp;JD513ARLINGTONLLC</t>
  </si>
  <si>
    <t xml:space="preserve">522-26 PARK AVE          </t>
  </si>
  <si>
    <t xml:space="preserve">522-526 PARK AVE., LLC             </t>
  </si>
  <si>
    <t xml:space="preserve">108 W 6TH ST             </t>
  </si>
  <si>
    <t xml:space="preserve">FIALLOS,FAUSTO                     </t>
  </si>
  <si>
    <t xml:space="preserve">107-09 W 5TH ST          </t>
  </si>
  <si>
    <t xml:space="preserve">FANTALY INTERNATIONAL LTD, INC     </t>
  </si>
  <si>
    <t xml:space="preserve">28 EDGEMONT RD           </t>
  </si>
  <si>
    <t xml:space="preserve">WEST ORANGE NJ           </t>
  </si>
  <si>
    <t xml:space="preserve">519-25 MADISON AVE       </t>
  </si>
  <si>
    <t xml:space="preserve">CHURCH OF GOD PLAINFIELD, INC      </t>
  </si>
  <si>
    <t xml:space="preserve">P.O. BOX 268268          </t>
  </si>
  <si>
    <t xml:space="preserve">WESTON, FL               </t>
  </si>
  <si>
    <t xml:space="preserve">607-11 NEW ST            </t>
  </si>
  <si>
    <t xml:space="preserve">PLAINFIELD COMMUNITY CHURCH OF GOD </t>
  </si>
  <si>
    <t xml:space="preserve">314-22 W 7TH ST          </t>
  </si>
  <si>
    <t xml:space="preserve">BLUEBERRY REALTY, LLC              </t>
  </si>
  <si>
    <t xml:space="preserve">910 AVENUE T             </t>
  </si>
  <si>
    <t xml:space="preserve">600-28 PARK AVE          </t>
  </si>
  <si>
    <t xml:space="preserve">MOOREHOUSE SEVENTH STREET, LP      </t>
  </si>
  <si>
    <t xml:space="preserve">33 DIVISION ST           </t>
  </si>
  <si>
    <t xml:space="preserve">SOMERVILLE NJ            </t>
  </si>
  <si>
    <t xml:space="preserve">516 W 6TH ST             </t>
  </si>
  <si>
    <t xml:space="preserve">ST MARYS CATHOLIC CHURCH           </t>
  </si>
  <si>
    <t xml:space="preserve">518-22 W 7TH ST          </t>
  </si>
  <si>
    <t xml:space="preserve">PNJ-F REALTY LLC                   </t>
  </si>
  <si>
    <t xml:space="preserve">530-34 W 7TH ST          </t>
  </si>
  <si>
    <t>BOYS &amp; GIRLS CLUB OF UNION CTY, INC</t>
  </si>
  <si>
    <t xml:space="preserve">1050 JEANETTE AVENUE     </t>
  </si>
  <si>
    <t xml:space="preserve">533-49 W 5TH ST          </t>
  </si>
  <si>
    <t xml:space="preserve">FAITH CHRISTIAN OUTREACH CENTER    </t>
  </si>
  <si>
    <t xml:space="preserve">533 WEST 5TH ST          </t>
  </si>
  <si>
    <t xml:space="preserve">500-22 W 6TH ST          </t>
  </si>
  <si>
    <t xml:space="preserve">423 W 5TH ST             </t>
  </si>
  <si>
    <t xml:space="preserve">ETIENNE, CARMY &amp; NATACHA           </t>
  </si>
  <si>
    <t xml:space="preserve">423-25 W 5TH ST          </t>
  </si>
  <si>
    <t>SHILOH BAPTIST CHURCH OF PLAINFIELD</t>
  </si>
  <si>
    <t xml:space="preserve">530 W 5TH ST             </t>
  </si>
  <si>
    <t xml:space="preserve">515-517 W 4TH ST         </t>
  </si>
  <si>
    <t xml:space="preserve">927-31 PARK AVE          </t>
  </si>
  <si>
    <t xml:space="preserve">ALEXANDER,INGRID                   </t>
  </si>
  <si>
    <t>PI Number</t>
  </si>
  <si>
    <t>Brownfield Status</t>
  </si>
  <si>
    <t>In BDA</t>
  </si>
  <si>
    <t>448017/563220</t>
  </si>
  <si>
    <t>LSRP Oversight In BDA</t>
  </si>
  <si>
    <t>Redeveloped</t>
  </si>
  <si>
    <t>Suspected</t>
  </si>
  <si>
    <t>Known</t>
  </si>
  <si>
    <t>128 Liberty St</t>
  </si>
  <si>
    <t>318 W 7th St.</t>
  </si>
  <si>
    <t>LSRP Oversight</t>
  </si>
  <si>
    <t xml:space="preserve">RAO-E Unrestricted Use </t>
  </si>
  <si>
    <t>RAO-A Unrestricted Use</t>
  </si>
  <si>
    <t>RAO-E Unrestricted Use</t>
  </si>
  <si>
    <t>CCF Approved</t>
  </si>
  <si>
    <t>7-9 Watchung Ave.</t>
  </si>
  <si>
    <t>403 Berckman St.</t>
  </si>
  <si>
    <t>166711/20843</t>
  </si>
  <si>
    <t>401 E 3rd St.</t>
  </si>
  <si>
    <t>NFA 5/11/10 In BDA</t>
  </si>
  <si>
    <t>600 Cleveland Ave</t>
  </si>
  <si>
    <t>Enduring Freedom Property</t>
  </si>
  <si>
    <t>Columbia Transmittion Comm.</t>
  </si>
  <si>
    <t>1440 W Front Street</t>
  </si>
  <si>
    <t>Park Madison UCIA</t>
  </si>
  <si>
    <t>1475778/19505</t>
  </si>
  <si>
    <t>559925/435393</t>
  </si>
  <si>
    <t>LSRP Oversight/CCF Approved</t>
  </si>
  <si>
    <t>Suspected (PA Completed)</t>
  </si>
  <si>
    <t xml:space="preserve">RAO-E (Unrestricted Use) </t>
  </si>
  <si>
    <t>859/010115</t>
  </si>
  <si>
    <t>Plainfield Shopping Center</t>
  </si>
  <si>
    <t>G000061164/87498</t>
  </si>
  <si>
    <t>55969/03794</t>
  </si>
  <si>
    <t>LSRP Oversight/CCFApproved</t>
  </si>
  <si>
    <t>Precious Steps Child Care</t>
  </si>
  <si>
    <t>Precious Steps Too Proposed</t>
  </si>
  <si>
    <t>LSRP Oversight (Substation)</t>
  </si>
  <si>
    <t>BiLingual Day Care</t>
  </si>
  <si>
    <t>241/9.01 was merger with Lot 17</t>
  </si>
  <si>
    <t>Samoset Laundry</t>
  </si>
  <si>
    <t>No SRP Oversight Required</t>
  </si>
  <si>
    <t>No SRP Oversight Required (Tohka)</t>
  </si>
  <si>
    <t>South 2nd Revevelopment #2</t>
  </si>
  <si>
    <t>South 2nd Revevelopment #3</t>
  </si>
  <si>
    <t>600 CLEVELAND AVE</t>
  </si>
  <si>
    <t>42598/003163</t>
  </si>
  <si>
    <t>Known/Deed Notice (Restricted Use)</t>
  </si>
  <si>
    <t>003281/45631</t>
  </si>
  <si>
    <t>UST Rec.Eval.9/5/13 &amp; LSRP Oversight</t>
  </si>
  <si>
    <t>Known/Redeveloped</t>
  </si>
  <si>
    <t>G000005444</t>
  </si>
  <si>
    <t>Walgreens</t>
  </si>
  <si>
    <t xml:space="preserve">Redeveloped (616/5.01 &amp; 9) </t>
  </si>
  <si>
    <t>Senior Center</t>
  </si>
  <si>
    <t>Parking Lot #4</t>
  </si>
  <si>
    <t>NFA 5/31/11 In BDA</t>
  </si>
  <si>
    <t>CEA 100123427 Extent</t>
  </si>
  <si>
    <t>Ground Water Plfd Gas Works</t>
  </si>
  <si>
    <t>Edward Paul Building</t>
  </si>
  <si>
    <t>Royal Apex</t>
  </si>
  <si>
    <t>Suspected Hazardous Sub. PLFD*</t>
  </si>
  <si>
    <t>Suspected Petroleum PLFD*</t>
  </si>
  <si>
    <t>858/185225/018714</t>
  </si>
  <si>
    <t>USEPA Removal Action Complete</t>
  </si>
  <si>
    <t>LSRP Oversight Required</t>
  </si>
  <si>
    <t>840 (854)</t>
  </si>
  <si>
    <t>54510/023816</t>
  </si>
  <si>
    <t>Former Block 601/Lots 6 &amp; 7</t>
  </si>
  <si>
    <t>On Former Block 768/Lot 1</t>
  </si>
  <si>
    <t>CEA 100123427 Extent/Sus. Petro PFLD*</t>
  </si>
  <si>
    <t>CEA 100123427 Extent/Sus.Haz.Sub PFLD*</t>
  </si>
  <si>
    <t>Known/Sus.Haz.Sub PFLD*</t>
  </si>
  <si>
    <t>Barack Obama Green School</t>
  </si>
  <si>
    <t>Former Block 840/Lot 16</t>
  </si>
  <si>
    <t>Formally Block 838/Lot 1</t>
  </si>
  <si>
    <t>Former Block 307/ Lot 39</t>
  </si>
  <si>
    <t>Notes</t>
  </si>
  <si>
    <t>Withdrawn</t>
  </si>
  <si>
    <t xml:space="preserve">Former Block 210 Lots 4 &amp; 5 </t>
  </si>
  <si>
    <t>Plainfield DPW</t>
  </si>
  <si>
    <t>UEZ</t>
  </si>
  <si>
    <t>yes</t>
  </si>
  <si>
    <t>425-431 W 2nd St</t>
  </si>
  <si>
    <t>Former Auto Service</t>
  </si>
  <si>
    <t xml:space="preserve">521-35 NORTH AVE         </t>
  </si>
  <si>
    <t xml:space="preserve">152 SHERMAN AVE          </t>
  </si>
  <si>
    <t>Royal Aluminium</t>
  </si>
  <si>
    <t xml:space="preserve">148-50 E 2ND ST          </t>
  </si>
  <si>
    <t xml:space="preserve">GAVETT PL PROPERTIES, LLC          </t>
  </si>
  <si>
    <t xml:space="preserve"> In BDA Conditional NFA 5/1/08 </t>
  </si>
  <si>
    <t xml:space="preserve">152-58 E 2ND ST          </t>
  </si>
  <si>
    <t xml:space="preserve">ART LOFTS I, L L C                 </t>
  </si>
  <si>
    <t xml:space="preserve">66.8X122.65 IRR     </t>
  </si>
  <si>
    <t xml:space="preserve">165-69 NORTH AVE         </t>
  </si>
  <si>
    <t>515 Watchung Ave</t>
  </si>
  <si>
    <t>Plainfield</t>
  </si>
  <si>
    <t xml:space="preserve">761-67 NORTH AVENUE, LLC           </t>
  </si>
  <si>
    <t xml:space="preserve">767 NORTH AVE            </t>
  </si>
  <si>
    <t xml:space="preserve">100X153.66          </t>
  </si>
  <si>
    <t>RAO -A  (Unrestricted Use)</t>
  </si>
  <si>
    <t>761-67 North Avenue</t>
  </si>
  <si>
    <t>s</t>
  </si>
  <si>
    <t xml:space="preserve">743-45 NORTH AVE         </t>
  </si>
  <si>
    <t xml:space="preserve">BARREIROS, MANUEL &amp; SEDLAK, JAMES  </t>
  </si>
  <si>
    <t xml:space="preserve">801 SOUTH AVE            </t>
  </si>
  <si>
    <t xml:space="preserve">WESTFIELD, N J           </t>
  </si>
  <si>
    <t xml:space="preserve">717-21 NORTH AVE         </t>
  </si>
  <si>
    <t xml:space="preserve">FLEMINGTON, N J          </t>
  </si>
  <si>
    <t>148 Stanton Road</t>
  </si>
  <si>
    <t xml:space="preserve">1117-21 NORTH AVENUE     </t>
  </si>
  <si>
    <t xml:space="preserve">1113-15 NORTH AVENUE     </t>
  </si>
  <si>
    <t xml:space="preserve">1107-11 NORTH AVE        </t>
  </si>
  <si>
    <t xml:space="preserve">1101-05 NORTH AVE        </t>
  </si>
  <si>
    <t xml:space="preserve">CRAWFORD, ROLAND &amp; ANGEL T         </t>
  </si>
  <si>
    <t xml:space="preserve">DPR COMPANY, LLC                   </t>
  </si>
  <si>
    <t xml:space="preserve">MOYA, CARLOS - PORTILLO, MIRIAM    </t>
  </si>
  <si>
    <t xml:space="preserve">1105 NORTH AVE, L L C              </t>
  </si>
  <si>
    <t xml:space="preserve">1117 NORTH AVE           </t>
  </si>
  <si>
    <t xml:space="preserve">1773 E 2ND ST            </t>
  </si>
  <si>
    <t xml:space="preserve">1109 NORTH AVE           </t>
  </si>
  <si>
    <t xml:space="preserve">232 JUNIPER WAY          </t>
  </si>
  <si>
    <t xml:space="preserve">MOUNTAINSIDE, NJ         </t>
  </si>
  <si>
    <t>Former Block 404/ Lot 12</t>
  </si>
  <si>
    <t xml:space="preserve">1135-37 NORTH AVE        </t>
  </si>
  <si>
    <t xml:space="preserve">1131-33 NORTH AVE        </t>
  </si>
  <si>
    <t xml:space="preserve">1125-29 NORTH AVE        </t>
  </si>
  <si>
    <t xml:space="preserve">1123 NORTH AVE           </t>
  </si>
  <si>
    <t xml:space="preserve">VISION OF GOD FAMILY WORSHIP,INC   </t>
  </si>
  <si>
    <t xml:space="preserve">DEO 537 NORTH AVE, LLC             </t>
  </si>
  <si>
    <t xml:space="preserve">LORETI, RICHARD J &amp; ALESSANDRA     </t>
  </si>
  <si>
    <t xml:space="preserve">BARTLEY, CRAIG                     </t>
  </si>
  <si>
    <t xml:space="preserve">350 LELAND AVE           </t>
  </si>
  <si>
    <t xml:space="preserve">P O BOX 7336             </t>
  </si>
  <si>
    <t xml:space="preserve">111 LAKEVIEW AVE         </t>
  </si>
  <si>
    <t xml:space="preserve">WATCHUNG,  NJ            </t>
  </si>
  <si>
    <t xml:space="preserve">WATCHUNG, N. J.          </t>
  </si>
  <si>
    <t>1025 South Ave</t>
  </si>
  <si>
    <t>1006 E 2nd St</t>
  </si>
  <si>
    <t xml:space="preserve">1464-74 E FRONT ST       </t>
  </si>
  <si>
    <t>190 Terrill RD</t>
  </si>
  <si>
    <t>Roy Nunn Getty Service Station</t>
  </si>
  <si>
    <t xml:space="preserve">PJP, INC                           </t>
  </si>
  <si>
    <t xml:space="preserve">1584 E FRONT ST          </t>
  </si>
  <si>
    <t>Former Gas Station</t>
  </si>
  <si>
    <t>201-203 Garfield Ave</t>
  </si>
  <si>
    <t>RAO-E (Limited Restricted Use)</t>
  </si>
  <si>
    <t>Being Redeveloped</t>
  </si>
  <si>
    <t xml:space="preserve">1332-1474 NORTH AVE      </t>
  </si>
  <si>
    <t xml:space="preserve">ELIZABETHTOWN WATER CO-AWSS CENTER </t>
  </si>
  <si>
    <t xml:space="preserve">P O BOX 5627             </t>
  </si>
  <si>
    <t xml:space="preserve">CHERRY HILL, N J         </t>
  </si>
  <si>
    <t>Source Identified</t>
  </si>
  <si>
    <t>201-249 E 4th St</t>
  </si>
  <si>
    <t>PSE &amp; G</t>
  </si>
  <si>
    <t>200-241 E 4th St</t>
  </si>
  <si>
    <t>Plfd Police Depart.</t>
  </si>
  <si>
    <t>PSE&amp;G Plainfield Coal Gas</t>
  </si>
  <si>
    <t>Fuel Spill</t>
  </si>
  <si>
    <t xml:space="preserve">520-22 SOUTH AVE         </t>
  </si>
  <si>
    <t xml:space="preserve">524-32 SOUTH AVE         </t>
  </si>
  <si>
    <t xml:space="preserve">537-39 E 6TH STREET      </t>
  </si>
  <si>
    <t xml:space="preserve">533-35 E 6TH STREET      </t>
  </si>
  <si>
    <t xml:space="preserve">529-31 E 6TH STREET      </t>
  </si>
  <si>
    <t xml:space="preserve">534-36 SOUTH AVE         </t>
  </si>
  <si>
    <t xml:space="preserve">600-06 SOUTH AVE         </t>
  </si>
  <si>
    <t xml:space="preserve">638-44 SOUTH AVE         </t>
  </si>
  <si>
    <t xml:space="preserve">SANCHEZ, ALBA RUTH                 </t>
  </si>
  <si>
    <t xml:space="preserve">ORTIZ,JAMES S &amp; PHYLLIS A          </t>
  </si>
  <si>
    <t xml:space="preserve">ALICIA &amp; RAY 882, LLC              </t>
  </si>
  <si>
    <t xml:space="preserve">534 SOUTH AVE            </t>
  </si>
  <si>
    <t xml:space="preserve">600 SOUTH AVE            </t>
  </si>
  <si>
    <t xml:space="preserve">PALINFIELD, NJ           </t>
  </si>
  <si>
    <t xml:space="preserve">889 NORTH AVE WEST       </t>
  </si>
  <si>
    <t xml:space="preserve">WESTFIELD, NJ            </t>
  </si>
  <si>
    <t>NFA 11/8/01 (Restricted Use)</t>
  </si>
  <si>
    <t xml:space="preserve">742-44 SOUTH AVE         </t>
  </si>
  <si>
    <t xml:space="preserve">800-10 SOUTH AVE         </t>
  </si>
  <si>
    <t xml:space="preserve">838-50 SOUTH AVE         </t>
  </si>
  <si>
    <t xml:space="preserve">904-06 SOUTH AVE         </t>
  </si>
  <si>
    <t xml:space="preserve">908-14 SOUTH AVE         </t>
  </si>
  <si>
    <t xml:space="preserve">916-26 SOUTH AVE         </t>
  </si>
  <si>
    <t>938-944 South Ave</t>
  </si>
  <si>
    <t>1000-1008 South Ave</t>
  </si>
  <si>
    <t>1100 South Avenue</t>
  </si>
  <si>
    <t>1124 South Ave.</t>
  </si>
  <si>
    <t>1150 South Ave</t>
  </si>
  <si>
    <t xml:space="preserve">HENDERSON, KARLTON &amp; KIMBERLY      </t>
  </si>
  <si>
    <t xml:space="preserve">800 SOUTH AVENUE LLC               </t>
  </si>
  <si>
    <t xml:space="preserve">MASI INVESTMENTS, LLC              </t>
  </si>
  <si>
    <t xml:space="preserve">WEBB,GARLAND &amp; MARSHA              </t>
  </si>
  <si>
    <t xml:space="preserve">DOSHI, VARDAMAN R &amp; REKHA          </t>
  </si>
  <si>
    <t xml:space="preserve">TJC AT NETHERWOOD LLC              </t>
  </si>
  <si>
    <t>Netherwood  Auto Repair</t>
  </si>
  <si>
    <t>Delta Service Station</t>
  </si>
  <si>
    <t>Plainfield Shell Station</t>
  </si>
  <si>
    <t xml:space="preserve">742 SOUTH AVE            </t>
  </si>
  <si>
    <t xml:space="preserve">2631 NE 12TH ST          </t>
  </si>
  <si>
    <t xml:space="preserve">FORT LAUDERDALE, FLA     </t>
  </si>
  <si>
    <t xml:space="preserve">505 SOMERSET STREET      </t>
  </si>
  <si>
    <t xml:space="preserve">NORTH PLAINFIELD, NJ     </t>
  </si>
  <si>
    <t xml:space="preserve">474 SHEARER AVENUE       </t>
  </si>
  <si>
    <t xml:space="preserve">2 OAK STREET             </t>
  </si>
  <si>
    <t xml:space="preserve">NEW BRUNSWICK, N J       </t>
  </si>
  <si>
    <t xml:space="preserve">603 FIRST AVE            </t>
  </si>
  <si>
    <t xml:space="preserve">RARITAN, NJ              </t>
  </si>
  <si>
    <t>G000010790/67109</t>
  </si>
  <si>
    <t>31337/022248</t>
  </si>
  <si>
    <t>16050/016475</t>
  </si>
  <si>
    <t>Top Shine Car Wash</t>
  </si>
  <si>
    <t>Known/LSRP Air Quality</t>
  </si>
  <si>
    <t>912 South Avenue</t>
  </si>
  <si>
    <t>502 Woodland Ave</t>
  </si>
  <si>
    <t>Suspected/ LSRP Oversight</t>
  </si>
  <si>
    <t>507 Woodland Ave.</t>
  </si>
  <si>
    <t xml:space="preserve">1343 &amp; 1351-57 SOUTH AVE   </t>
  </si>
  <si>
    <t xml:space="preserve">1202-14 SOUTH AVE        </t>
  </si>
  <si>
    <t xml:space="preserve">1304-12 SOUTH AVE        </t>
  </si>
  <si>
    <t xml:space="preserve">1314-26 SOUTH AVE        </t>
  </si>
  <si>
    <t xml:space="preserve">1358-62 SOUTH AVE        </t>
  </si>
  <si>
    <t xml:space="preserve">1472-78 SOUTH AVE        </t>
  </si>
  <si>
    <t xml:space="preserve">FREEHOLD S. L. LTD PARTNERSHIP     </t>
  </si>
  <si>
    <t xml:space="preserve">ALJUMA, LLC C/O A TIEDRICH, MD     </t>
  </si>
  <si>
    <t xml:space="preserve">NARULA REAL ESTATE ASSOCIATES LLC  </t>
  </si>
  <si>
    <t xml:space="preserve">JMF FLEET PLAINFIELD LLC           </t>
  </si>
  <si>
    <t>PLAINFIELD CHAI, LLC TAX DEPT 34272</t>
  </si>
  <si>
    <t xml:space="preserve">590 EAST MAIN ST         </t>
  </si>
  <si>
    <t xml:space="preserve">BRIDGEWATER, N. J.       </t>
  </si>
  <si>
    <t xml:space="preserve">1304 SOUTH AVE           </t>
  </si>
  <si>
    <t xml:space="preserve">PLAINFIELD, N  J         </t>
  </si>
  <si>
    <t xml:space="preserve">389 OLD COURTHOUSE RD    </t>
  </si>
  <si>
    <t xml:space="preserve">NEW HYDE PARK,NY         </t>
  </si>
  <si>
    <t>80 SOUTH JEFFERSON ST 202</t>
  </si>
  <si>
    <t xml:space="preserve">WHIPPANY, NJ             </t>
  </si>
  <si>
    <t xml:space="preserve">P O BOX 711              </t>
  </si>
  <si>
    <t xml:space="preserve">DALLAS, TEXAS            </t>
  </si>
  <si>
    <t>RAO-A (Unrestricted Use)</t>
  </si>
  <si>
    <t>Former Dry Cleaner</t>
  </si>
  <si>
    <t>OO1193</t>
  </si>
  <si>
    <t>Former Gas Station to 7 Eleven</t>
  </si>
  <si>
    <t>202-208 W 7th St</t>
  </si>
  <si>
    <t>SK Enterprizes Inc.</t>
  </si>
  <si>
    <t>137 East 5th St</t>
  </si>
  <si>
    <t>1212-1218 North Avenue</t>
  </si>
  <si>
    <t>PO Box 2984</t>
  </si>
  <si>
    <t>ISRA/Triggered by Purchase</t>
  </si>
  <si>
    <t>No</t>
  </si>
  <si>
    <t>118 Emerson Ave.</t>
  </si>
  <si>
    <t>1407 Chetwynd Ave.</t>
  </si>
  <si>
    <t>1411 Highland Ave.</t>
  </si>
  <si>
    <t>Plainfield , NJ</t>
  </si>
  <si>
    <t>Plainfield, NJ</t>
  </si>
  <si>
    <t>O7060</t>
  </si>
  <si>
    <t>609 Woodland Ave.</t>
  </si>
  <si>
    <t>Cylinder Fire</t>
  </si>
  <si>
    <t>Woodland/Maxon School</t>
  </si>
  <si>
    <t>645-47 East Front St</t>
  </si>
  <si>
    <t>669 W 7th St</t>
  </si>
  <si>
    <t>708 Russell Place</t>
  </si>
  <si>
    <t>1314-22 Highland Avenue</t>
  </si>
  <si>
    <t xml:space="preserve">718418/CSPI 160001 </t>
  </si>
  <si>
    <t>NFA 3/1/16</t>
  </si>
  <si>
    <t>967 Madison Ave.</t>
  </si>
  <si>
    <t xml:space="preserve">ROW Only  PSE&amp;G Transformer  </t>
  </si>
  <si>
    <t>951-959 Leland Ave.</t>
  </si>
  <si>
    <t>750 E Front St.</t>
  </si>
  <si>
    <t>510 Grant Ave.</t>
  </si>
  <si>
    <t>Black United Fund Day Care (Proposed)</t>
  </si>
  <si>
    <t>324 Monroe Ave.</t>
  </si>
  <si>
    <t>Beacon Village Apartments</t>
  </si>
  <si>
    <t>631 E Front St.</t>
  </si>
  <si>
    <t>First United Methodist Church</t>
  </si>
  <si>
    <t>66547/199379</t>
  </si>
  <si>
    <t>654 W 4th St</t>
  </si>
  <si>
    <t xml:space="preserve">Neighborhood House Assoc. (School Programs)    </t>
  </si>
  <si>
    <t>361885/361886</t>
  </si>
  <si>
    <t>CCF Approved (both)</t>
  </si>
  <si>
    <t>1201 E &amp;th St.</t>
  </si>
  <si>
    <t>NJDM &amp; VA Plainfield Armory</t>
  </si>
  <si>
    <t>457578/15047</t>
  </si>
  <si>
    <t>Suspected/LSRP Oversight</t>
  </si>
  <si>
    <t>208-222 Lee Place</t>
  </si>
  <si>
    <t>515 Watchung Ave.</t>
  </si>
  <si>
    <t>Lee Place</t>
  </si>
  <si>
    <t>West End Gardens</t>
  </si>
  <si>
    <t>Inc. B 201/L 8-21 on Myrtle Ave</t>
  </si>
  <si>
    <t>007796/RAR140001</t>
  </si>
  <si>
    <t>Suspected/Suspected Hazardous Sub. PLFD*</t>
  </si>
  <si>
    <t>1417 Maple Avenue</t>
  </si>
  <si>
    <t>no</t>
  </si>
  <si>
    <t>1200 South Ave</t>
  </si>
  <si>
    <t>7 Eleven</t>
  </si>
  <si>
    <t>614 W 4th St</t>
  </si>
  <si>
    <t>672 West 3rd St.</t>
  </si>
  <si>
    <t>614 W 3rd St</t>
  </si>
  <si>
    <t>624 W 3rd St</t>
  </si>
  <si>
    <t>701  W 3rd St.</t>
  </si>
  <si>
    <t>703-732 W 4th St.</t>
  </si>
  <si>
    <t>808-810 W 3rd St.</t>
  </si>
  <si>
    <t>308-10 Grant Ave.</t>
  </si>
  <si>
    <t>Known/Known/RAP (Injectron Corp Res.Use)</t>
  </si>
  <si>
    <t>314-316 Lee Place</t>
  </si>
  <si>
    <t>309-311 Manson Place</t>
  </si>
  <si>
    <t>1012 W 3rd St.</t>
  </si>
  <si>
    <t>1810 W Front St.</t>
  </si>
  <si>
    <t>1851 W Front St</t>
  </si>
  <si>
    <t>Ground Water</t>
  </si>
  <si>
    <t>1627-1629 Myrtle Ave</t>
  </si>
  <si>
    <t>1623-1625 Myrtle Ave</t>
  </si>
  <si>
    <t>45 Brokaw Boulevard</t>
  </si>
  <si>
    <t>41-43 Brokaw Boulevard</t>
  </si>
  <si>
    <t>37-39 Brokaw Boulevard</t>
  </si>
  <si>
    <t>33-35 Brokaw Boulevard</t>
  </si>
  <si>
    <t>29-31 Brokaw Boulevard</t>
  </si>
  <si>
    <t>25-27 Brokaw Boulevard</t>
  </si>
  <si>
    <t>21-23 Brokaw Boulevard</t>
  </si>
  <si>
    <t>15-19 Brokaw Boulevard</t>
  </si>
  <si>
    <t>9-13 Brokaw Boulevard</t>
  </si>
  <si>
    <t>Suspected/LSRP ?</t>
  </si>
  <si>
    <t>Well in Green Brook Park</t>
  </si>
  <si>
    <t>NJAM Water Company</t>
  </si>
  <si>
    <t>150 Garfield Ave</t>
  </si>
  <si>
    <t>336-338 Watson Ave</t>
  </si>
  <si>
    <t>343-345 Netherwood Ave.</t>
  </si>
  <si>
    <t>337-341 Netherwood Ave</t>
  </si>
  <si>
    <t>337-341 Watson Ave</t>
  </si>
  <si>
    <t>LSRP/Ground Water Monitoring (022228)</t>
  </si>
  <si>
    <t>322-344 Leland Ave</t>
  </si>
  <si>
    <t>326-340 Leland Ave.</t>
  </si>
  <si>
    <t>342-352 Lelend Ave</t>
  </si>
  <si>
    <t>1135-1137 North Ave</t>
  </si>
  <si>
    <t>1131-1133 North Ave</t>
  </si>
  <si>
    <t>1125-1129 North Ave</t>
  </si>
  <si>
    <t>1123 North Avenue</t>
  </si>
  <si>
    <t>337 Hillcrest Ave</t>
  </si>
  <si>
    <t>200-210 Terrill Road</t>
  </si>
  <si>
    <t>302 Terrill Road</t>
  </si>
  <si>
    <t>716-722 Monroe Ave. (rear)</t>
  </si>
  <si>
    <t>734-736 Monroe Ave.</t>
  </si>
  <si>
    <t>1240-1242 W 7th St</t>
  </si>
  <si>
    <t>1235-1237 W 6th St</t>
  </si>
  <si>
    <t>LSRP Oversight (Redeveloped)</t>
  </si>
  <si>
    <t>535 E 7th St</t>
  </si>
  <si>
    <t>1322 Putnam Ave</t>
  </si>
  <si>
    <t>800-804 Hillside Ave</t>
  </si>
  <si>
    <t>1088 Arlington Ave</t>
  </si>
  <si>
    <t>Hi Tech Cleaners</t>
  </si>
  <si>
    <t>1092-1098 Arlington Ave</t>
  </si>
  <si>
    <t>105-107 Randolph Road</t>
  </si>
  <si>
    <t>City of Plainfield                 (ROSI)</t>
  </si>
  <si>
    <t>966 Central Ave</t>
  </si>
  <si>
    <t>1441 Evergreen Ave</t>
  </si>
  <si>
    <t>1225 Evegreen Ave</t>
  </si>
  <si>
    <t>228-232 E 9th St.</t>
  </si>
  <si>
    <t>234 E 9th St</t>
  </si>
  <si>
    <t>236 E 9th St.</t>
  </si>
  <si>
    <t>City of Plainfield</t>
  </si>
  <si>
    <t>739 Leland Ave</t>
  </si>
  <si>
    <t>RAO</t>
  </si>
  <si>
    <t>Remedial Action Outcome</t>
  </si>
  <si>
    <t>DEFINITIONS</t>
  </si>
  <si>
    <t>NFA</t>
  </si>
  <si>
    <t>No Further Action</t>
  </si>
  <si>
    <t>LSRP</t>
  </si>
  <si>
    <t>Licensed Site Remediation Professional</t>
  </si>
  <si>
    <t>BDA</t>
  </si>
  <si>
    <t>Brownfield Development Area</t>
  </si>
  <si>
    <t>CCF</t>
  </si>
  <si>
    <t>Child Care Facility</t>
  </si>
  <si>
    <t>RAP</t>
  </si>
  <si>
    <t>Remedial Action Permit</t>
  </si>
  <si>
    <t>CEA</t>
  </si>
  <si>
    <t>Classification Exception Area</t>
  </si>
  <si>
    <t>SRP</t>
  </si>
  <si>
    <t>Site Remediation Professional</t>
  </si>
  <si>
    <t>PA</t>
  </si>
  <si>
    <t>Preliminary Assessment</t>
  </si>
  <si>
    <t>RAO/LSRP Oversight/SADE</t>
  </si>
  <si>
    <t>Spill Action Defense Exceptions</t>
  </si>
  <si>
    <t>RAO-A</t>
  </si>
  <si>
    <t>RAO-E</t>
  </si>
  <si>
    <t>Remedial Action Outcome for an Area of Concern Only</t>
  </si>
  <si>
    <t>Remedial Action Outcome for the Entire Site</t>
  </si>
  <si>
    <t>WRA</t>
  </si>
  <si>
    <t>Well Restricted Area</t>
  </si>
  <si>
    <t>SADE</t>
  </si>
  <si>
    <t>Emerson Ave./East 3rd St</t>
  </si>
  <si>
    <t>Former Block 413/ Lot 2-5 &amp; 12</t>
  </si>
  <si>
    <t>Deed Notice (Soil)</t>
  </si>
  <si>
    <t>B of E (Emerson School, Playground &amp; Pking Lot)</t>
  </si>
  <si>
    <t>RAO-A Unrestricted Use 7/15/15 rev.11/8/15</t>
  </si>
  <si>
    <t xml:space="preserve">          OO8827</t>
  </si>
  <si>
    <t>ISRA #E20160314, Well #250003982</t>
  </si>
  <si>
    <t xml:space="preserve">RAO-E Unrestricted </t>
  </si>
  <si>
    <t>Jacinth Tuitt</t>
  </si>
  <si>
    <t>Edwin Espin</t>
  </si>
  <si>
    <t>1300 RT 22</t>
  </si>
  <si>
    <t>North Plainfield , NJ</t>
  </si>
  <si>
    <t>654 W 4th ST</t>
  </si>
  <si>
    <t>Vicenta Carbajal</t>
  </si>
  <si>
    <t>1119 Pershing Place</t>
  </si>
  <si>
    <t>South Plainfield , NJ</t>
  </si>
  <si>
    <t>Celestine Beck</t>
  </si>
  <si>
    <t>Regine Mayala</t>
  </si>
  <si>
    <t>Michael &amp; Sharmain Sylvester</t>
  </si>
  <si>
    <t>325 Hunter Ave</t>
  </si>
  <si>
    <t>Scotch Plains</t>
  </si>
  <si>
    <t>Nadira &amp; Narain Budhan</t>
  </si>
  <si>
    <t>308-310 Grant Ave</t>
  </si>
  <si>
    <t>M. Hernandez &amp; C. Bustamante</t>
  </si>
  <si>
    <t>Calvary Baptist Church</t>
  </si>
  <si>
    <t>Romerto &amp; Elsa Gonzalez</t>
  </si>
  <si>
    <t>Juan Manuel Cantor</t>
  </si>
  <si>
    <t>Danny Dominguez</t>
  </si>
  <si>
    <t>James &amp; Gracie Ferguson</t>
  </si>
  <si>
    <t>Joseph &amp; Dhanmatti Nassy</t>
  </si>
  <si>
    <t>Joseph Mackin</t>
  </si>
  <si>
    <t>Betty Roberts</t>
  </si>
  <si>
    <t>Levander Ross</t>
  </si>
  <si>
    <t>Deotis &amp; Elizabeth Taylor</t>
  </si>
  <si>
    <t>Secretary, Housing &amp; Urban Development  HUD</t>
  </si>
  <si>
    <t>Jeffery &amp; Janet Walden</t>
  </si>
  <si>
    <t>Raymond &amp; Valerie McQueary</t>
  </si>
  <si>
    <t>MDS Properties, LLC</t>
  </si>
  <si>
    <t>151 Second Street</t>
  </si>
  <si>
    <t>25-27 Compton Ave.</t>
  </si>
  <si>
    <t>Walter &amp; Joann Myer</t>
  </si>
  <si>
    <t>Sarah Taylor</t>
  </si>
  <si>
    <t>PO Box 2973</t>
  </si>
  <si>
    <t>720 Fanning Mill Road</t>
  </si>
  <si>
    <t>Stewartville, NJ</t>
  </si>
  <si>
    <t>324-330 Leland Ave. (Stange)</t>
  </si>
  <si>
    <t>36 Brower Lane</t>
  </si>
  <si>
    <t>Hillsborough, NJ</t>
  </si>
  <si>
    <t>CC Plainfield, LLC</t>
  </si>
  <si>
    <t>O8844</t>
  </si>
  <si>
    <t>Steve Ryan</t>
  </si>
  <si>
    <t>343-345 Watson Ave</t>
  </si>
  <si>
    <t>Guy Lauren</t>
  </si>
  <si>
    <t>Pearl Brown</t>
  </si>
  <si>
    <t>Glenn Jorgensen</t>
  </si>
  <si>
    <t>Alvero Gomes</t>
  </si>
  <si>
    <t>Lynn Alexander</t>
  </si>
  <si>
    <t>Elizabethtown H2O</t>
  </si>
  <si>
    <t>Leonard Kempler &amp; Lee Mitchell</t>
  </si>
  <si>
    <t xml:space="preserve">L J L Development Corporation, LLC </t>
  </si>
  <si>
    <t>Luis &amp; Marbely</t>
  </si>
  <si>
    <t>Dennis Park</t>
  </si>
  <si>
    <t>14 Hiland Drive</t>
  </si>
  <si>
    <t>140 Winham Road</t>
  </si>
  <si>
    <t>Hilllsdale, NJ</t>
  </si>
  <si>
    <t>O7642</t>
  </si>
  <si>
    <t>O7062</t>
  </si>
  <si>
    <t>Suspected NJDEP</t>
  </si>
  <si>
    <t xml:space="preserve">Suspected*  PLFD   </t>
  </si>
  <si>
    <t>NJDEP Suspected  Site</t>
  </si>
  <si>
    <t>Pakka &amp; Son, LLC</t>
  </si>
  <si>
    <t>321 Liberty Corner Road</t>
  </si>
  <si>
    <t>Far Hills, NJ</t>
  </si>
  <si>
    <t>O7931</t>
  </si>
  <si>
    <t>Joy Lynne Company, LLC</t>
  </si>
  <si>
    <t>Carlos &amp; Fiallos Santamaria</t>
  </si>
  <si>
    <t>16 Mariners Place</t>
  </si>
  <si>
    <t>Phillip &amp; Joyce Charles</t>
  </si>
  <si>
    <t>637 Sheridan Avenue</t>
  </si>
  <si>
    <t>Valentino</t>
  </si>
  <si>
    <t>Plainfield Gas Reality</t>
  </si>
  <si>
    <t>Plainfield, nj</t>
  </si>
  <si>
    <t>716-726 Monroe Ave.</t>
  </si>
  <si>
    <t>Egoe &amp; Luciani De Dominicus</t>
  </si>
  <si>
    <t>Robert Lima</t>
  </si>
  <si>
    <t>2559 Hamilton Terrace</t>
  </si>
  <si>
    <t>Delshaun Myers</t>
  </si>
  <si>
    <t>Union, NJ</t>
  </si>
  <si>
    <t>Jed &amp; Scott Efrus</t>
  </si>
  <si>
    <t>1120-1138 South Ave</t>
  </si>
  <si>
    <t>O8054</t>
  </si>
  <si>
    <t>Hopes Community Action Partnership (Armory)</t>
  </si>
  <si>
    <t>124 Grand St</t>
  </si>
  <si>
    <t>Hoboken, NJ</t>
  </si>
  <si>
    <t>O7030</t>
  </si>
  <si>
    <t>Essie Smith &amp; Benzina Earp</t>
  </si>
  <si>
    <t xml:space="preserve">Plainfield, NJ </t>
  </si>
  <si>
    <t>Jennifer &amp; Lowe Felderhoff</t>
  </si>
  <si>
    <t>Cathleen &amp; Nicholas Nards</t>
  </si>
  <si>
    <t>US Bank National Association</t>
  </si>
  <si>
    <t>611 Jamison Road</t>
  </si>
  <si>
    <t>Elma, NY</t>
  </si>
  <si>
    <t>Donna Fountain</t>
  </si>
  <si>
    <t>Lawrence Quirk</t>
  </si>
  <si>
    <t>Carol Sutton</t>
  </si>
  <si>
    <t>Kathryn Uhrich &amp; Jeffery Holms</t>
  </si>
  <si>
    <t>Katherine &amp; Struart Blach</t>
  </si>
  <si>
    <t>Daria &amp; Anthony Pizzuto</t>
  </si>
  <si>
    <t>Maureen &amp; Donald Muganda</t>
  </si>
  <si>
    <t>Muhammad Sayyidah</t>
  </si>
  <si>
    <t>193 Richelieu Terrace</t>
  </si>
  <si>
    <t>Newark. NJ</t>
  </si>
  <si>
    <t>O7061</t>
  </si>
  <si>
    <t>Plainfield B of E</t>
  </si>
  <si>
    <t>County of Union UC Openspace/Recreation</t>
  </si>
  <si>
    <t>Elizabethtown Plaza</t>
  </si>
  <si>
    <t>Luis Yanha</t>
  </si>
  <si>
    <t xml:space="preserve">Plainfield Suspected Site </t>
  </si>
  <si>
    <t xml:space="preserve">RAO (Restricted), Soil RAP170001 </t>
  </si>
  <si>
    <t>New CEA submitted to NJDEP</t>
  </si>
  <si>
    <t xml:space="preserve">RAO-E (Unrestricted Use)  </t>
  </si>
  <si>
    <t>Building Interior Not Addresssed</t>
  </si>
  <si>
    <t>012017/E20160384</t>
  </si>
  <si>
    <t xml:space="preserve">120-130 W 6TH ST          </t>
  </si>
  <si>
    <t xml:space="preserve">P O BOX 8685 (142 Broad St)            </t>
  </si>
  <si>
    <t xml:space="preserve">P O BOX 8685   (142 Broad St)          </t>
  </si>
  <si>
    <t>55090/025107</t>
  </si>
  <si>
    <t>E20160345/014151</t>
  </si>
  <si>
    <t>RAO (Unrestricted Use) NO CCF</t>
  </si>
  <si>
    <t>CC Plainfield, LLC (Haller Testing Labs)</t>
  </si>
  <si>
    <t>Redeveloped CEA Groundwater</t>
  </si>
  <si>
    <t>Monarch of East Front Street Condo Assoc.</t>
  </si>
  <si>
    <t xml:space="preserve">342-406 E FRONT ST </t>
  </si>
  <si>
    <t>RAO (Unrestricted 9/22/2017)</t>
  </si>
  <si>
    <t>30789/025794</t>
  </si>
  <si>
    <t>(Soil RAP140001)/ RAO; Unrestricted (trench)</t>
  </si>
  <si>
    <t xml:space="preserve">639 SOUTH AVE, LLC        (Lackland)         </t>
  </si>
  <si>
    <t>2016 USEPA Hazardous</t>
  </si>
  <si>
    <t>UC Brownfields Grant</t>
  </si>
  <si>
    <t>Rear 201-33 East Front Street</t>
  </si>
  <si>
    <t>City of Plainfield  Parking Lot #1</t>
  </si>
  <si>
    <t xml:space="preserve">CITY OF PLAINFIELD       Parking Lot # 8 &amp; 8A           </t>
  </si>
  <si>
    <t>Yes</t>
  </si>
  <si>
    <t>114-20E 7th St./715 Park Ave.</t>
  </si>
  <si>
    <t>City of Plainfield   Parking Lot #7</t>
  </si>
  <si>
    <t>1200 Randolph Road</t>
  </si>
  <si>
    <t>Mulhenberg Regional Medical Cebter (JFK)</t>
  </si>
  <si>
    <t xml:space="preserve">80 James Street, </t>
  </si>
  <si>
    <t xml:space="preserve">Edison, NJ </t>
  </si>
  <si>
    <t>RAO Entire Site (8 AOC)</t>
  </si>
  <si>
    <t>026588/018502</t>
  </si>
  <si>
    <t xml:space="preserve">1600 South Second, LLC  </t>
  </si>
  <si>
    <t>523 River Road</t>
  </si>
  <si>
    <t>Edgewater, nj</t>
  </si>
  <si>
    <t xml:space="preserve">LSRP Oversight (UC and DEP Hazmat Alerted) </t>
  </si>
  <si>
    <t>717 North LLC</t>
  </si>
  <si>
    <t>42502 / 17-11-29-1453-45</t>
  </si>
  <si>
    <r>
      <t xml:space="preserve"> 11/29/17 Incd. Rprt </t>
    </r>
    <r>
      <rPr>
        <sz val="8"/>
        <color theme="1"/>
        <rFont val="Calibri"/>
        <family val="2"/>
        <scheme val="minor"/>
      </rPr>
      <t>17-11-29-1453-45</t>
    </r>
  </si>
  <si>
    <t xml:space="preserve">   ESA(PA) completed, SI approved</t>
  </si>
  <si>
    <t xml:space="preserve">  ESA(PA)completed, SI approved</t>
  </si>
  <si>
    <t>ESA(PA)/SI completed</t>
  </si>
  <si>
    <t>PA/SI SI in progress</t>
  </si>
  <si>
    <t>PA,SI, RI,RAW 2/2010 (Soil Cap/Deed Restrict)</t>
  </si>
  <si>
    <t>PA,SI,RI,</t>
  </si>
  <si>
    <t>Parking Lot # 10</t>
  </si>
  <si>
    <t>Properties in UEZ</t>
  </si>
  <si>
    <t>SI</t>
  </si>
  <si>
    <t>Site Investigation</t>
  </si>
  <si>
    <t>RIR</t>
  </si>
  <si>
    <t>Remedial Investigation Report</t>
  </si>
  <si>
    <t>RAW</t>
  </si>
  <si>
    <t>Remedial Action Workplan</t>
  </si>
  <si>
    <t>In BDA, PA  &amp; SI completed</t>
  </si>
  <si>
    <t>Fmr B309/L1 Possble owner Env. Work Done</t>
  </si>
  <si>
    <t>In BDA , PA, SI, &amp; RIR Submitted 11.21.2017</t>
  </si>
  <si>
    <t>In BDA PA, SI, RI, RAW, QAPP Poss.Deed Restriction</t>
  </si>
  <si>
    <t xml:space="preserve">662-736 SO 2ND ST        </t>
  </si>
  <si>
    <t xml:space="preserve">738-758 SO 2ND ST </t>
  </si>
  <si>
    <t>SOUTH SECOND REDEVELOPMENT URBAN REDELV.</t>
  </si>
  <si>
    <t>Redev. Muse at South 2nd ,Former B112/L9.01</t>
  </si>
  <si>
    <t>Redev. ABC Supply, Former B112/L9.01</t>
  </si>
  <si>
    <t>UC Brownfields Grant, SI USEPA Money</t>
  </si>
  <si>
    <t>ESA (PA) to begin/ SI By City of PLFD proposed</t>
  </si>
  <si>
    <t>ESA (PA) completed/ SI by City of PFLD proposed</t>
  </si>
  <si>
    <t>SI USEPA Money</t>
  </si>
  <si>
    <t xml:space="preserve">654 SO 2ND ST            </t>
  </si>
  <si>
    <t>Hugo Galvan (Auto Repair)</t>
  </si>
  <si>
    <t xml:space="preserve">CITY OF PLAINFIELD, (Fire Dept. Headquarters)             </t>
  </si>
  <si>
    <t xml:space="preserve">CITY OF PLAINFIELD, ROSI                </t>
  </si>
  <si>
    <t>ESA/PA Report Completed</t>
  </si>
  <si>
    <t>In BDA, PA in progress</t>
  </si>
  <si>
    <t xml:space="preserve">122 OXFORD PLACE LLC     Lackland          </t>
  </si>
  <si>
    <t>In BDA  5 UST Rem. PA&amp;SI Done RA/RI in Progress</t>
  </si>
  <si>
    <t>In BDA,  RAO (AOC'S only)</t>
  </si>
  <si>
    <t xml:space="preserve">SB 2012 LLC                         </t>
  </si>
  <si>
    <t xml:space="preserve">148 WEST FORDHAM REALTY CORP, In foreclosure  </t>
  </si>
  <si>
    <t>RAO Unrestricted Entire Site</t>
  </si>
  <si>
    <t xml:space="preserve">524-78 W 2ND ST          </t>
  </si>
  <si>
    <t xml:space="preserve">623-627 SO 2ND ST            </t>
  </si>
  <si>
    <t xml:space="preserve">200 Plainfield Avenue Urban Renewal LLC      </t>
  </si>
  <si>
    <t xml:space="preserve">RAO Restricted,  UST Closure UCL180001, RAP180001 </t>
  </si>
  <si>
    <t>Child Care License 180600124</t>
  </si>
  <si>
    <t xml:space="preserve">118-32 WAYNEWOOD PARK    </t>
  </si>
  <si>
    <t>NFA 5 tanks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</si>
</sst>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5">
    <xf numFmtId="0" fontId="0" fillId="0" borderId="0" xfId="0"/>
    <xf numFmtId="0" fontId="0" fillId="33" borderId="0" xfId="0" applyFill="1"/>
    <xf numFmtId="0" fontId="0" fillId="0" borderId="0" xfId="0" applyAlignment="1"/>
    <xf numFmtId="0" fontId="0" fillId="0" borderId="0" xfId="0" applyAlignment="1">
      <alignment horizontal="center"/>
    </xf>
    <xf numFmtId="0" fontId="0" fillId="34" borderId="0" xfId="0" applyFill="1" applyAlignment="1"/>
    <xf numFmtId="0" fontId="0" fillId="34" borderId="0" xfId="0" applyFill="1"/>
    <xf numFmtId="0" fontId="0" fillId="34" borderId="0" xfId="0" applyFill="1" applyAlignment="1">
      <alignment horizontal="center"/>
    </xf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/>
    <xf numFmtId="0" fontId="0" fillId="34" borderId="10" xfId="0" applyFill="1" applyBorder="1" applyAlignment="1">
      <alignment horizontal="center" vertical="justify"/>
    </xf>
    <xf numFmtId="0" fontId="0" fillId="34" borderId="10" xfId="0" applyFill="1" applyBorder="1" applyAlignment="1">
      <alignment horizontal="left"/>
    </xf>
    <xf numFmtId="0" fontId="0" fillId="34" borderId="0" xfId="0" applyFont="1" applyFill="1"/>
    <xf numFmtId="0" fontId="0" fillId="34" borderId="10" xfId="0" applyFont="1" applyFill="1" applyBorder="1" applyAlignment="1">
      <alignment horizontal="left"/>
    </xf>
    <xf numFmtId="0" fontId="0" fillId="34" borderId="10" xfId="0" applyFont="1" applyFill="1" applyBorder="1"/>
    <xf numFmtId="0" fontId="0" fillId="34" borderId="10" xfId="0" applyFont="1" applyFill="1" applyBorder="1" applyAlignment="1">
      <alignment horizontal="center"/>
    </xf>
    <xf numFmtId="0" fontId="0" fillId="0" borderId="10" xfId="0" applyBorder="1" applyAlignment="1"/>
    <xf numFmtId="0" fontId="0" fillId="34" borderId="10" xfId="0" applyFont="1" applyFill="1" applyBorder="1" applyAlignment="1"/>
    <xf numFmtId="0" fontId="18" fillId="35" borderId="10" xfId="0" applyFont="1" applyFill="1" applyBorder="1"/>
    <xf numFmtId="0" fontId="18" fillId="35" borderId="10" xfId="0" applyFont="1" applyFill="1" applyBorder="1" applyAlignment="1"/>
    <xf numFmtId="0" fontId="0" fillId="33" borderId="10" xfId="0" applyFont="1" applyFill="1" applyBorder="1" applyAlignment="1">
      <alignment horizontal="left"/>
    </xf>
    <xf numFmtId="0" fontId="0" fillId="33" borderId="10" xfId="0" applyFill="1" applyBorder="1" applyAlignment="1">
      <alignment horizontal="left"/>
    </xf>
    <xf numFmtId="0" fontId="0" fillId="33" borderId="10" xfId="0" applyFont="1" applyFill="1" applyBorder="1"/>
    <xf numFmtId="0" fontId="0" fillId="33" borderId="10" xfId="0" applyFont="1" applyFill="1" applyBorder="1" applyAlignment="1">
      <alignment horizontal="center"/>
    </xf>
    <xf numFmtId="0" fontId="0" fillId="33" borderId="10" xfId="0" applyFont="1" applyFill="1" applyBorder="1" applyAlignment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3" borderId="10" xfId="0" applyFont="1" applyFill="1" applyBorder="1"/>
    <xf numFmtId="0" fontId="0" fillId="33" borderId="10" xfId="0" applyFill="1" applyBorder="1" applyAlignment="1">
      <alignment horizontal="center" vertical="justify"/>
    </xf>
    <xf numFmtId="0" fontId="0" fillId="33" borderId="10" xfId="0" applyFill="1" applyBorder="1" applyAlignment="1"/>
    <xf numFmtId="0" fontId="0" fillId="0" borderId="10" xfId="0" applyBorder="1"/>
    <xf numFmtId="0" fontId="16" fillId="34" borderId="10" xfId="0" applyFont="1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/>
    <xf numFmtId="0" fontId="0" fillId="0" borderId="10" xfId="0" applyFill="1" applyBorder="1" applyAlignment="1">
      <alignment horizontal="center" vertical="justify"/>
    </xf>
    <xf numFmtId="0" fontId="0" fillId="0" borderId="10" xfId="0" applyFont="1" applyFill="1" applyBorder="1" applyAlignment="1">
      <alignment horizontal="center"/>
    </xf>
    <xf numFmtId="0" fontId="16" fillId="0" borderId="0" xfId="0" applyFont="1"/>
    <xf numFmtId="0" fontId="16" fillId="34" borderId="0" xfId="0" applyFont="1" applyFill="1"/>
    <xf numFmtId="0" fontId="21" fillId="0" borderId="0" xfId="0" applyFont="1"/>
    <xf numFmtId="0" fontId="22" fillId="0" borderId="0" xfId="0" applyFont="1"/>
    <xf numFmtId="0" fontId="0" fillId="34" borderId="10" xfId="0" applyFill="1" applyBorder="1" applyAlignment="1">
      <alignment vertical="center"/>
    </xf>
    <xf numFmtId="0" fontId="0" fillId="36" borderId="10" xfId="0" applyFont="1" applyFill="1" applyBorder="1"/>
    <xf numFmtId="0" fontId="0" fillId="36" borderId="10" xfId="0" applyFill="1" applyBorder="1" applyAlignment="1">
      <alignment horizontal="left"/>
    </xf>
    <xf numFmtId="0" fontId="0" fillId="36" borderId="10" xfId="0" applyFont="1" applyFill="1" applyBorder="1" applyAlignment="1">
      <alignment horizontal="left"/>
    </xf>
    <xf numFmtId="0" fontId="0" fillId="0" borderId="10" xfId="0" applyFont="1" applyFill="1" applyBorder="1"/>
    <xf numFmtId="0" fontId="0" fillId="36" borderId="10" xfId="0" applyFill="1" applyBorder="1"/>
    <xf numFmtId="0" fontId="0" fillId="0" borderId="10" xfId="0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6" borderId="10" xfId="0" applyFill="1" applyBorder="1" applyAlignment="1"/>
    <xf numFmtId="0" fontId="18" fillId="34" borderId="10" xfId="0" applyFont="1" applyFill="1" applyBorder="1" applyAlignment="1"/>
    <xf numFmtId="0" fontId="0" fillId="34" borderId="10" xfId="0" applyFont="1" applyFill="1" applyBorder="1" applyAlignment="1">
      <alignment horizontal="centerContinuous"/>
    </xf>
    <xf numFmtId="0" fontId="23" fillId="37" borderId="10" xfId="0" applyFont="1" applyFill="1" applyBorder="1" applyAlignment="1">
      <alignment horizontal="center"/>
    </xf>
    <xf numFmtId="0" fontId="0" fillId="38" borderId="10" xfId="0" applyFont="1" applyFill="1" applyBorder="1" applyAlignment="1">
      <alignment horizontal="centerContinuous"/>
    </xf>
    <xf numFmtId="0" fontId="0" fillId="38" borderId="10" xfId="0" applyFill="1" applyBorder="1" applyAlignment="1">
      <alignment horizontal="center"/>
    </xf>
    <xf numFmtId="0" fontId="0" fillId="38" borderId="10" xfId="0" applyFill="1" applyBorder="1" applyAlignment="1">
      <alignment horizontal="left"/>
    </xf>
    <xf numFmtId="0" fontId="0" fillId="38" borderId="10" xfId="0" applyFill="1" applyBorder="1" applyAlignment="1">
      <alignment horizontal="center" vertical="justify"/>
    </xf>
    <xf numFmtId="0" fontId="0" fillId="38" borderId="10" xfId="0" applyFont="1" applyFill="1" applyBorder="1" applyAlignment="1">
      <alignment horizontal="center"/>
    </xf>
    <xf numFmtId="0" fontId="0" fillId="38" borderId="10" xfId="0" applyFont="1" applyFill="1" applyBorder="1" applyAlignment="1">
      <alignment horizontal="center" vertical="justify"/>
    </xf>
    <xf numFmtId="0" fontId="24" fillId="38" borderId="10" xfId="0" applyFont="1" applyFill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38" borderId="10" xfId="0" applyFill="1" applyBorder="1"/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458"/>
  <sheetViews>
    <sheetView tabSelected="1" showWhiteSpace="0" view="pageLayout" topLeftCell="A196" zoomScale="80" zoomScaleNormal="80" zoomScalePageLayoutView="80" workbookViewId="0">
      <selection activeCell="A332" sqref="A332:XFD332"/>
    </sheetView>
  </sheetViews>
  <sheetFormatPr defaultRowHeight="14.4" x14ac:dyDescent="0.3"/>
  <cols>
    <col min="1" max="1" width="7.109375" customWidth="1"/>
    <col min="2" max="2" width="6.6640625" customWidth="1"/>
    <col min="3" max="3" width="0.109375" customWidth="1"/>
    <col min="4" max="4" width="5.6640625" customWidth="1"/>
    <col min="5" max="5" width="30.44140625" customWidth="1"/>
    <col min="6" max="6" width="47.5546875" customWidth="1"/>
    <col min="7" max="7" width="30" customWidth="1"/>
    <col min="8" max="8" width="24.88671875" customWidth="1"/>
    <col min="9" max="9" width="7.5546875" customWidth="1"/>
    <col min="10" max="10" width="6.88671875" customWidth="1"/>
    <col min="11" max="11" width="16.33203125" customWidth="1"/>
    <col min="12" max="12" width="19.33203125" customWidth="1"/>
    <col min="13" max="13" width="51.33203125" customWidth="1"/>
    <col min="14" max="14" width="64.6640625" style="2" customWidth="1"/>
    <col min="15" max="15" width="19.109375" customWidth="1"/>
  </cols>
  <sheetData>
    <row r="1" spans="1:14" ht="18" x14ac:dyDescent="0.35">
      <c r="A1" s="18" t="s">
        <v>0</v>
      </c>
      <c r="B1" s="18" t="s">
        <v>1</v>
      </c>
      <c r="C1" s="18" t="s">
        <v>2</v>
      </c>
      <c r="D1" s="18" t="s">
        <v>661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580</v>
      </c>
      <c r="M1" s="18" t="s">
        <v>581</v>
      </c>
      <c r="N1" s="19" t="s">
        <v>657</v>
      </c>
    </row>
    <row r="2" spans="1:14" ht="18" x14ac:dyDescent="0.35">
      <c r="A2" s="13">
        <v>13</v>
      </c>
      <c r="B2" s="13">
        <v>38.03</v>
      </c>
      <c r="C2" s="13"/>
      <c r="D2" s="13"/>
      <c r="E2" s="13" t="s">
        <v>1111</v>
      </c>
      <c r="F2" s="13" t="s">
        <v>1112</v>
      </c>
      <c r="G2" s="13" t="s">
        <v>1113</v>
      </c>
      <c r="H2" s="13" t="s">
        <v>1114</v>
      </c>
      <c r="I2" s="13">
        <v>8820</v>
      </c>
      <c r="J2" s="13"/>
      <c r="K2" s="13"/>
      <c r="L2" s="50" t="s">
        <v>1116</v>
      </c>
      <c r="M2" s="52" t="s">
        <v>1115</v>
      </c>
      <c r="N2" s="49"/>
    </row>
    <row r="3" spans="1:14" x14ac:dyDescent="0.3">
      <c r="A3" s="20">
        <v>21</v>
      </c>
      <c r="B3" s="20">
        <v>30.02</v>
      </c>
      <c r="C3" s="27"/>
      <c r="D3" s="22" t="s">
        <v>826</v>
      </c>
      <c r="E3" s="22" t="s">
        <v>868</v>
      </c>
      <c r="F3" s="22" t="s">
        <v>974</v>
      </c>
      <c r="G3" s="22" t="s">
        <v>868</v>
      </c>
      <c r="H3" s="22" t="s">
        <v>830</v>
      </c>
      <c r="I3" s="22" t="s">
        <v>832</v>
      </c>
      <c r="J3" s="27"/>
      <c r="K3" s="27"/>
      <c r="L3" s="23">
        <v>167144</v>
      </c>
      <c r="M3" s="8" t="s">
        <v>867</v>
      </c>
      <c r="N3" s="9"/>
    </row>
    <row r="4" spans="1:14" x14ac:dyDescent="0.3">
      <c r="A4" s="13">
        <v>84</v>
      </c>
      <c r="B4" s="13">
        <v>1</v>
      </c>
      <c r="C4" s="31" t="s">
        <v>869</v>
      </c>
      <c r="D4" s="14" t="s">
        <v>662</v>
      </c>
      <c r="E4" s="14" t="s">
        <v>870</v>
      </c>
      <c r="F4" s="14" t="s">
        <v>871</v>
      </c>
      <c r="G4" s="14"/>
      <c r="H4" s="7" t="s">
        <v>19</v>
      </c>
      <c r="I4" s="7">
        <v>7060</v>
      </c>
      <c r="J4" s="31"/>
      <c r="K4" s="31"/>
      <c r="L4" s="15">
        <v>3474</v>
      </c>
      <c r="M4" s="53" t="s">
        <v>585</v>
      </c>
      <c r="N4" s="9"/>
    </row>
    <row r="5" spans="1:14" x14ac:dyDescent="0.3">
      <c r="A5" s="7" t="str">
        <f>"101       "</f>
        <v xml:space="preserve">101       </v>
      </c>
      <c r="B5" s="7" t="str">
        <f>"2         "</f>
        <v xml:space="preserve">2         </v>
      </c>
      <c r="C5" s="7" t="s">
        <v>10</v>
      </c>
      <c r="D5" s="7" t="s">
        <v>662</v>
      </c>
      <c r="E5" s="7" t="s">
        <v>12</v>
      </c>
      <c r="F5" s="7" t="s">
        <v>13</v>
      </c>
      <c r="G5" s="7" t="s">
        <v>14</v>
      </c>
      <c r="H5" s="7" t="s">
        <v>15</v>
      </c>
      <c r="I5" s="7" t="str">
        <f>"07059"</f>
        <v>07059</v>
      </c>
      <c r="J5" s="7">
        <v>1900</v>
      </c>
      <c r="K5" s="7">
        <v>0.52939999000000004</v>
      </c>
      <c r="L5" s="7"/>
      <c r="M5" s="8" t="s">
        <v>642</v>
      </c>
      <c r="N5" s="9"/>
    </row>
    <row r="6" spans="1:14" x14ac:dyDescent="0.3">
      <c r="A6" s="7" t="str">
        <f t="shared" ref="A6:A8" si="0">"101       "</f>
        <v xml:space="preserve">101       </v>
      </c>
      <c r="B6" s="7" t="str">
        <f>"4         "</f>
        <v xml:space="preserve">4         </v>
      </c>
      <c r="C6" s="7" t="s">
        <v>10</v>
      </c>
      <c r="D6" s="7" t="s">
        <v>662</v>
      </c>
      <c r="E6" s="7" t="s">
        <v>16</v>
      </c>
      <c r="F6" s="7" t="s">
        <v>17</v>
      </c>
      <c r="G6" s="7" t="s">
        <v>18</v>
      </c>
      <c r="H6" s="7" t="s">
        <v>19</v>
      </c>
      <c r="I6" s="7" t="str">
        <f>"07060"</f>
        <v>07060</v>
      </c>
      <c r="J6" s="7">
        <v>1925</v>
      </c>
      <c r="K6" s="7">
        <v>0</v>
      </c>
      <c r="L6" s="8" t="s">
        <v>613</v>
      </c>
      <c r="M6" s="53" t="s">
        <v>614</v>
      </c>
      <c r="N6" s="9" t="s">
        <v>615</v>
      </c>
    </row>
    <row r="7" spans="1:14" x14ac:dyDescent="0.3">
      <c r="A7" s="7" t="str">
        <f t="shared" si="0"/>
        <v xml:space="preserve">101       </v>
      </c>
      <c r="B7" s="7" t="str">
        <f>"5         "</f>
        <v xml:space="preserve">5         </v>
      </c>
      <c r="C7" s="7" t="s">
        <v>10</v>
      </c>
      <c r="D7" s="7" t="s">
        <v>662</v>
      </c>
      <c r="E7" s="7" t="s">
        <v>20</v>
      </c>
      <c r="F7" s="7" t="s">
        <v>21</v>
      </c>
      <c r="G7" s="7" t="s">
        <v>22</v>
      </c>
      <c r="H7" s="7" t="s">
        <v>23</v>
      </c>
      <c r="I7" s="7" t="str">
        <f>"08902"</f>
        <v>08902</v>
      </c>
      <c r="J7" s="7">
        <v>1910</v>
      </c>
      <c r="K7" s="7">
        <v>0.13089999999999999</v>
      </c>
      <c r="L7" s="7"/>
      <c r="M7" s="8" t="s">
        <v>642</v>
      </c>
      <c r="N7" s="9"/>
    </row>
    <row r="8" spans="1:14" x14ac:dyDescent="0.3">
      <c r="A8" s="7" t="str">
        <f t="shared" si="0"/>
        <v xml:space="preserve">101       </v>
      </c>
      <c r="B8" s="7" t="str">
        <f>"7         "</f>
        <v xml:space="preserve">7         </v>
      </c>
      <c r="C8" s="7" t="s">
        <v>10</v>
      </c>
      <c r="D8" s="7" t="s">
        <v>662</v>
      </c>
      <c r="E8" s="7" t="s">
        <v>24</v>
      </c>
      <c r="F8" s="7" t="s">
        <v>17</v>
      </c>
      <c r="G8" s="7" t="s">
        <v>18</v>
      </c>
      <c r="H8" s="7" t="s">
        <v>19</v>
      </c>
      <c r="I8" s="7" t="str">
        <f>"07060"</f>
        <v>07060</v>
      </c>
      <c r="J8" s="7">
        <v>1930</v>
      </c>
      <c r="K8" s="7">
        <v>0</v>
      </c>
      <c r="L8" s="8">
        <v>68064</v>
      </c>
      <c r="M8" s="8" t="s">
        <v>586</v>
      </c>
      <c r="N8" s="9"/>
    </row>
    <row r="9" spans="1:14" x14ac:dyDescent="0.3">
      <c r="A9" s="7" t="str">
        <f t="shared" ref="A9" si="1">"102       "</f>
        <v xml:space="preserve">102       </v>
      </c>
      <c r="B9" s="7" t="str">
        <f>"5.01      "</f>
        <v xml:space="preserve">5.01      </v>
      </c>
      <c r="C9" s="7" t="s">
        <v>10</v>
      </c>
      <c r="D9" s="7" t="s">
        <v>662</v>
      </c>
      <c r="E9" s="7" t="s">
        <v>28</v>
      </c>
      <c r="F9" s="7" t="s">
        <v>29</v>
      </c>
      <c r="G9" s="7" t="s">
        <v>30</v>
      </c>
      <c r="H9" s="7" t="s">
        <v>11</v>
      </c>
      <c r="I9" s="7" t="str">
        <f>"07060"</f>
        <v>07060</v>
      </c>
      <c r="J9" s="7">
        <v>1955</v>
      </c>
      <c r="K9" s="7">
        <v>0</v>
      </c>
      <c r="L9" s="7"/>
      <c r="M9" s="8" t="s">
        <v>641</v>
      </c>
      <c r="N9" s="9"/>
    </row>
    <row r="10" spans="1:14" x14ac:dyDescent="0.3">
      <c r="A10" s="7" t="str">
        <f>"103       "</f>
        <v xml:space="preserve">103       </v>
      </c>
      <c r="B10" s="7" t="str">
        <f>"2         "</f>
        <v xml:space="preserve">2         </v>
      </c>
      <c r="C10" s="7" t="s">
        <v>10</v>
      </c>
      <c r="D10" s="7" t="s">
        <v>662</v>
      </c>
      <c r="E10" s="7" t="s">
        <v>31</v>
      </c>
      <c r="F10" s="7" t="s">
        <v>1153</v>
      </c>
      <c r="G10" s="7" t="s">
        <v>33</v>
      </c>
      <c r="H10" s="7" t="s">
        <v>19</v>
      </c>
      <c r="I10" s="7" t="str">
        <f>"07060"</f>
        <v>07060</v>
      </c>
      <c r="J10" s="7">
        <v>1925</v>
      </c>
      <c r="K10" s="7">
        <v>0.68540000999999995</v>
      </c>
      <c r="L10" s="8">
        <v>50808</v>
      </c>
      <c r="M10" s="53" t="s">
        <v>816</v>
      </c>
      <c r="N10" s="9"/>
    </row>
    <row r="11" spans="1:14" x14ac:dyDescent="0.3">
      <c r="A11" s="7" t="str">
        <f>"108       "</f>
        <v xml:space="preserve">108       </v>
      </c>
      <c r="B11" s="7" t="str">
        <f>"1         "</f>
        <v xml:space="preserve">1         </v>
      </c>
      <c r="C11" s="7" t="s">
        <v>10</v>
      </c>
      <c r="D11" s="7" t="s">
        <v>662</v>
      </c>
      <c r="E11" s="7" t="s">
        <v>35</v>
      </c>
      <c r="F11" s="7" t="s">
        <v>36</v>
      </c>
      <c r="G11" s="7" t="s">
        <v>37</v>
      </c>
      <c r="H11" s="7" t="s">
        <v>19</v>
      </c>
      <c r="I11" s="7" t="str">
        <f t="shared" ref="I11:I15" si="2">"07060"</f>
        <v>07060</v>
      </c>
      <c r="J11" s="7">
        <v>1954</v>
      </c>
      <c r="K11" s="7">
        <v>5.5799999199999997</v>
      </c>
      <c r="L11" s="8">
        <v>20112</v>
      </c>
      <c r="M11" s="8" t="s">
        <v>590</v>
      </c>
      <c r="N11" s="9" t="s">
        <v>864</v>
      </c>
    </row>
    <row r="12" spans="1:14" x14ac:dyDescent="0.3">
      <c r="A12" s="21">
        <v>109</v>
      </c>
      <c r="B12" s="21">
        <v>43.01</v>
      </c>
      <c r="C12" s="25"/>
      <c r="D12" s="25" t="s">
        <v>826</v>
      </c>
      <c r="E12" s="25" t="s">
        <v>872</v>
      </c>
      <c r="F12" s="25" t="s">
        <v>975</v>
      </c>
      <c r="G12" s="25" t="s">
        <v>976</v>
      </c>
      <c r="H12" s="22" t="s">
        <v>977</v>
      </c>
      <c r="I12" s="25" t="str">
        <f t="shared" si="2"/>
        <v>07060</v>
      </c>
      <c r="J12" s="25"/>
      <c r="K12" s="25"/>
      <c r="L12" s="26"/>
      <c r="M12" s="8" t="s">
        <v>641</v>
      </c>
      <c r="N12" s="9"/>
    </row>
    <row r="13" spans="1:14" x14ac:dyDescent="0.3">
      <c r="A13" s="21">
        <v>109</v>
      </c>
      <c r="B13" s="21">
        <v>56.01</v>
      </c>
      <c r="C13" s="25" t="s">
        <v>826</v>
      </c>
      <c r="D13" s="25"/>
      <c r="E13" s="25" t="s">
        <v>853</v>
      </c>
      <c r="F13" s="25" t="s">
        <v>854</v>
      </c>
      <c r="G13" s="25" t="s">
        <v>978</v>
      </c>
      <c r="H13" s="22" t="s">
        <v>830</v>
      </c>
      <c r="I13" s="25" t="str">
        <f t="shared" si="2"/>
        <v>07060</v>
      </c>
      <c r="J13" s="25"/>
      <c r="K13" s="25"/>
      <c r="L13" s="26" t="s">
        <v>855</v>
      </c>
      <c r="M13" s="53" t="s">
        <v>856</v>
      </c>
      <c r="N13" s="9"/>
    </row>
    <row r="14" spans="1:14" x14ac:dyDescent="0.3">
      <c r="A14" s="7" t="str">
        <f t="shared" ref="A14" si="3">"109       "</f>
        <v xml:space="preserve">109       </v>
      </c>
      <c r="B14" s="7" t="str">
        <f>"35        "</f>
        <v xml:space="preserve">35        </v>
      </c>
      <c r="C14" s="7" t="s">
        <v>10</v>
      </c>
      <c r="D14" s="7" t="s">
        <v>662</v>
      </c>
      <c r="E14" s="7" t="s">
        <v>505</v>
      </c>
      <c r="F14" s="7" t="s">
        <v>506</v>
      </c>
      <c r="G14" s="7" t="s">
        <v>507</v>
      </c>
      <c r="H14" s="7" t="s">
        <v>19</v>
      </c>
      <c r="I14" s="7" t="str">
        <f>"07060"</f>
        <v>07060</v>
      </c>
      <c r="J14" s="7">
        <v>1935</v>
      </c>
      <c r="K14" s="7">
        <v>9.4799999999999995E-2</v>
      </c>
      <c r="L14" s="7"/>
      <c r="M14" s="8" t="s">
        <v>642</v>
      </c>
      <c r="N14" s="9"/>
    </row>
    <row r="15" spans="1:14" x14ac:dyDescent="0.3">
      <c r="A15" s="21">
        <v>110</v>
      </c>
      <c r="B15" s="21">
        <v>7</v>
      </c>
      <c r="C15" s="25"/>
      <c r="D15" s="25" t="s">
        <v>826</v>
      </c>
      <c r="E15" s="25" t="s">
        <v>873</v>
      </c>
      <c r="F15" s="25" t="s">
        <v>979</v>
      </c>
      <c r="G15" s="25" t="s">
        <v>980</v>
      </c>
      <c r="H15" s="22" t="s">
        <v>981</v>
      </c>
      <c r="I15" s="25" t="str">
        <f t="shared" si="2"/>
        <v>07060</v>
      </c>
      <c r="J15" s="25"/>
      <c r="K15" s="25"/>
      <c r="L15" s="25"/>
      <c r="M15" s="8" t="s">
        <v>642</v>
      </c>
      <c r="N15" s="9"/>
    </row>
    <row r="16" spans="1:14" x14ac:dyDescent="0.3">
      <c r="A16" s="7" t="str">
        <f t="shared" ref="A16:A21" si="4">"111       "</f>
        <v xml:space="preserve">111       </v>
      </c>
      <c r="B16" s="7" t="str">
        <f>"2         "</f>
        <v xml:space="preserve">2         </v>
      </c>
      <c r="C16" s="7" t="s">
        <v>10</v>
      </c>
      <c r="D16" s="7" t="s">
        <v>662</v>
      </c>
      <c r="E16" s="7" t="s">
        <v>378</v>
      </c>
      <c r="F16" s="7" t="s">
        <v>32</v>
      </c>
      <c r="G16" s="7" t="s">
        <v>33</v>
      </c>
      <c r="H16" s="7" t="s">
        <v>19</v>
      </c>
      <c r="I16" s="7" t="str">
        <f>"07061"</f>
        <v>07061</v>
      </c>
      <c r="J16" s="7">
        <v>0</v>
      </c>
      <c r="K16" s="7">
        <v>0</v>
      </c>
      <c r="L16" s="8">
        <v>79764</v>
      </c>
      <c r="M16" s="8" t="s">
        <v>621</v>
      </c>
      <c r="N16" s="9"/>
    </row>
    <row r="17" spans="1:14" x14ac:dyDescent="0.3">
      <c r="A17" s="7" t="str">
        <f t="shared" si="4"/>
        <v xml:space="preserve">111       </v>
      </c>
      <c r="B17" s="7" t="str">
        <f>"12        "</f>
        <v xml:space="preserve">12        </v>
      </c>
      <c r="C17" s="7" t="s">
        <v>10</v>
      </c>
      <c r="D17" s="7" t="s">
        <v>662</v>
      </c>
      <c r="E17" s="7" t="s">
        <v>379</v>
      </c>
      <c r="F17" s="7" t="s">
        <v>380</v>
      </c>
      <c r="G17" s="7" t="s">
        <v>381</v>
      </c>
      <c r="H17" s="7" t="s">
        <v>19</v>
      </c>
      <c r="I17" s="7" t="str">
        <f>"07060"</f>
        <v>07060</v>
      </c>
      <c r="J17" s="7">
        <v>0</v>
      </c>
      <c r="K17" s="7">
        <v>0.14749999</v>
      </c>
      <c r="L17" s="8">
        <v>79762</v>
      </c>
      <c r="M17" s="8" t="s">
        <v>622</v>
      </c>
      <c r="N17" s="9" t="s">
        <v>623</v>
      </c>
    </row>
    <row r="18" spans="1:14" x14ac:dyDescent="0.3">
      <c r="A18" s="7" t="str">
        <f t="shared" si="4"/>
        <v xml:space="preserve">111       </v>
      </c>
      <c r="B18" s="7" t="str">
        <f>"13.01        "</f>
        <v xml:space="preserve">13.01        </v>
      </c>
      <c r="C18" s="7" t="s">
        <v>10</v>
      </c>
      <c r="D18" s="7" t="s">
        <v>662</v>
      </c>
      <c r="E18" s="7" t="s">
        <v>1164</v>
      </c>
      <c r="F18" s="7" t="s">
        <v>32</v>
      </c>
      <c r="G18" s="7" t="s">
        <v>33</v>
      </c>
      <c r="H18" s="7" t="s">
        <v>11</v>
      </c>
      <c r="I18" s="7" t="str">
        <f>"07061"</f>
        <v>07061</v>
      </c>
      <c r="J18" s="7">
        <v>0</v>
      </c>
      <c r="K18" s="7">
        <v>0.1208</v>
      </c>
      <c r="L18" s="8">
        <v>79762</v>
      </c>
      <c r="M18" s="8" t="s">
        <v>621</v>
      </c>
      <c r="N18" s="9" t="s">
        <v>623</v>
      </c>
    </row>
    <row r="19" spans="1:14" x14ac:dyDescent="0.3">
      <c r="A19" s="7" t="str">
        <f t="shared" si="4"/>
        <v xml:space="preserve">111       </v>
      </c>
      <c r="B19" s="7" t="str">
        <f>"15        "</f>
        <v xml:space="preserve">15        </v>
      </c>
      <c r="C19" s="7" t="s">
        <v>10</v>
      </c>
      <c r="D19" s="7" t="s">
        <v>662</v>
      </c>
      <c r="E19" s="7" t="s">
        <v>382</v>
      </c>
      <c r="F19" s="7" t="s">
        <v>383</v>
      </c>
      <c r="G19" s="7" t="s">
        <v>384</v>
      </c>
      <c r="H19" s="7" t="s">
        <v>11</v>
      </c>
      <c r="I19" s="7" t="str">
        <f>"07060"</f>
        <v>07060</v>
      </c>
      <c r="J19" s="7">
        <v>2002</v>
      </c>
      <c r="K19" s="7">
        <v>0.1459</v>
      </c>
      <c r="L19" s="8">
        <v>79762</v>
      </c>
      <c r="M19" s="8" t="s">
        <v>621</v>
      </c>
      <c r="N19" s="9" t="s">
        <v>623</v>
      </c>
    </row>
    <row r="20" spans="1:14" x14ac:dyDescent="0.3">
      <c r="A20" s="7" t="str">
        <f t="shared" si="4"/>
        <v xml:space="preserve">111       </v>
      </c>
      <c r="B20" s="7" t="str">
        <f>"16        "</f>
        <v xml:space="preserve">16        </v>
      </c>
      <c r="C20" s="7" t="s">
        <v>10</v>
      </c>
      <c r="D20" s="7" t="s">
        <v>662</v>
      </c>
      <c r="E20" s="7" t="s">
        <v>385</v>
      </c>
      <c r="F20" s="7" t="s">
        <v>32</v>
      </c>
      <c r="G20" s="7" t="s">
        <v>33</v>
      </c>
      <c r="H20" s="7" t="s">
        <v>19</v>
      </c>
      <c r="I20" s="7" t="str">
        <f>"07061"</f>
        <v>07061</v>
      </c>
      <c r="J20" s="7">
        <v>0</v>
      </c>
      <c r="K20" s="7">
        <v>8.6900000000000005E-2</v>
      </c>
      <c r="L20" s="8">
        <v>79762</v>
      </c>
      <c r="M20" s="8" t="s">
        <v>621</v>
      </c>
      <c r="N20" s="9" t="s">
        <v>623</v>
      </c>
    </row>
    <row r="21" spans="1:14" x14ac:dyDescent="0.3">
      <c r="A21" s="61" t="str">
        <f t="shared" si="4"/>
        <v xml:space="preserve">111       </v>
      </c>
      <c r="B21" s="61" t="str">
        <f>"16.01     "</f>
        <v xml:space="preserve">16.01     </v>
      </c>
      <c r="C21" s="61" t="s">
        <v>10</v>
      </c>
      <c r="D21" s="61" t="s">
        <v>662</v>
      </c>
      <c r="E21" s="61" t="s">
        <v>386</v>
      </c>
      <c r="F21" s="61" t="s">
        <v>1165</v>
      </c>
      <c r="G21" s="61" t="s">
        <v>387</v>
      </c>
      <c r="H21" s="61" t="s">
        <v>11</v>
      </c>
      <c r="I21" s="61" t="str">
        <f>"07060"</f>
        <v>07060</v>
      </c>
      <c r="J21" s="61" t="s">
        <v>25</v>
      </c>
      <c r="K21" s="61">
        <v>0</v>
      </c>
      <c r="L21" s="53">
        <v>770644</v>
      </c>
      <c r="M21" s="53" t="s">
        <v>1166</v>
      </c>
      <c r="N21" s="9" t="s">
        <v>1167</v>
      </c>
    </row>
    <row r="22" spans="1:14" x14ac:dyDescent="0.3">
      <c r="A22" s="21">
        <v>111</v>
      </c>
      <c r="B22" s="21">
        <v>24</v>
      </c>
      <c r="C22" s="25"/>
      <c r="D22" s="25" t="s">
        <v>826</v>
      </c>
      <c r="E22" s="25" t="s">
        <v>874</v>
      </c>
      <c r="F22" s="25" t="s">
        <v>982</v>
      </c>
      <c r="G22" s="25" t="s">
        <v>874</v>
      </c>
      <c r="H22" s="22" t="s">
        <v>830</v>
      </c>
      <c r="I22" s="25" t="str">
        <f>"07060"</f>
        <v>07060</v>
      </c>
      <c r="J22" s="25"/>
      <c r="K22" s="25"/>
      <c r="L22" s="25"/>
      <c r="M22" s="8" t="s">
        <v>641</v>
      </c>
      <c r="N22" s="9"/>
    </row>
    <row r="23" spans="1:14" x14ac:dyDescent="0.3">
      <c r="A23" s="21">
        <v>111</v>
      </c>
      <c r="B23" s="21">
        <v>29</v>
      </c>
      <c r="C23" s="25"/>
      <c r="D23" s="25" t="s">
        <v>826</v>
      </c>
      <c r="E23" s="25" t="s">
        <v>875</v>
      </c>
      <c r="F23" s="25" t="s">
        <v>983</v>
      </c>
      <c r="G23" s="25" t="s">
        <v>875</v>
      </c>
      <c r="H23" s="22" t="s">
        <v>830</v>
      </c>
      <c r="I23" s="25" t="str">
        <f>"07060"</f>
        <v>07060</v>
      </c>
      <c r="J23" s="25"/>
      <c r="K23" s="25"/>
      <c r="L23" s="25"/>
      <c r="M23" s="8" t="s">
        <v>641</v>
      </c>
      <c r="N23" s="9"/>
    </row>
    <row r="24" spans="1:14" x14ac:dyDescent="0.3">
      <c r="A24" s="7" t="str">
        <f t="shared" ref="A24:A30" si="5">"112       "</f>
        <v xml:space="preserve">112       </v>
      </c>
      <c r="B24" s="7" t="str">
        <f>"1         "</f>
        <v xml:space="preserve">1         </v>
      </c>
      <c r="C24" s="7" t="s">
        <v>10</v>
      </c>
      <c r="D24" s="7" t="s">
        <v>662</v>
      </c>
      <c r="E24" s="7" t="s">
        <v>38</v>
      </c>
      <c r="F24" s="7" t="s">
        <v>1154</v>
      </c>
      <c r="G24" s="7" t="s">
        <v>33</v>
      </c>
      <c r="H24" s="7" t="s">
        <v>19</v>
      </c>
      <c r="I24" s="7" t="str">
        <f>"07061"</f>
        <v>07061</v>
      </c>
      <c r="J24" s="7">
        <v>0</v>
      </c>
      <c r="K24" s="7">
        <v>0.99299996999999995</v>
      </c>
      <c r="L24" s="7"/>
      <c r="M24" s="8" t="s">
        <v>621</v>
      </c>
      <c r="N24" s="9"/>
    </row>
    <row r="25" spans="1:14" x14ac:dyDescent="0.3">
      <c r="A25" s="7" t="str">
        <f t="shared" si="5"/>
        <v xml:space="preserve">112       </v>
      </c>
      <c r="B25" s="7" t="str">
        <f>"4         "</f>
        <v xml:space="preserve">4         </v>
      </c>
      <c r="C25" s="7" t="s">
        <v>10</v>
      </c>
      <c r="D25" s="7" t="s">
        <v>662</v>
      </c>
      <c r="E25" s="7" t="s">
        <v>40</v>
      </c>
      <c r="F25" s="7" t="s">
        <v>41</v>
      </c>
      <c r="G25" s="7" t="s">
        <v>40</v>
      </c>
      <c r="H25" s="7" t="s">
        <v>11</v>
      </c>
      <c r="I25" s="7" t="str">
        <f>"07060"</f>
        <v>07060</v>
      </c>
      <c r="J25" s="7">
        <v>2002</v>
      </c>
      <c r="K25" s="7">
        <v>0</v>
      </c>
      <c r="L25" s="8">
        <v>79763</v>
      </c>
      <c r="M25" s="8" t="s">
        <v>621</v>
      </c>
      <c r="N25" s="9" t="s">
        <v>624</v>
      </c>
    </row>
    <row r="26" spans="1:14" x14ac:dyDescent="0.3">
      <c r="A26" s="7" t="str">
        <f t="shared" si="5"/>
        <v xml:space="preserve">112       </v>
      </c>
      <c r="B26" s="7" t="str">
        <f>"5         "</f>
        <v xml:space="preserve">5         </v>
      </c>
      <c r="C26" s="7" t="s">
        <v>10</v>
      </c>
      <c r="D26" s="7" t="s">
        <v>662</v>
      </c>
      <c r="E26" s="7" t="s">
        <v>42</v>
      </c>
      <c r="F26" s="7" t="s">
        <v>32</v>
      </c>
      <c r="G26" s="7" t="s">
        <v>33</v>
      </c>
      <c r="H26" s="7" t="s">
        <v>19</v>
      </c>
      <c r="I26" s="7" t="str">
        <f>"07061"</f>
        <v>07061</v>
      </c>
      <c r="J26" s="7">
        <v>0</v>
      </c>
      <c r="K26" s="7">
        <v>0</v>
      </c>
      <c r="L26" s="7"/>
      <c r="M26" s="53" t="s">
        <v>1148</v>
      </c>
      <c r="N26" s="9" t="s">
        <v>1150</v>
      </c>
    </row>
    <row r="27" spans="1:14" x14ac:dyDescent="0.3">
      <c r="A27" s="11">
        <v>112</v>
      </c>
      <c r="B27" s="11">
        <v>6</v>
      </c>
      <c r="C27" s="7"/>
      <c r="D27" s="7" t="s">
        <v>662</v>
      </c>
      <c r="E27" s="7" t="s">
        <v>1151</v>
      </c>
      <c r="F27" s="7" t="s">
        <v>1152</v>
      </c>
      <c r="G27" s="7"/>
      <c r="H27" s="7"/>
      <c r="I27" s="7"/>
      <c r="J27" s="7"/>
      <c r="K27" s="7"/>
      <c r="L27" s="7"/>
      <c r="M27" s="8" t="s">
        <v>641</v>
      </c>
      <c r="N27" s="9"/>
    </row>
    <row r="28" spans="1:14" x14ac:dyDescent="0.3">
      <c r="A28" s="45" t="str">
        <f t="shared" si="5"/>
        <v xml:space="preserve">112       </v>
      </c>
      <c r="B28" s="45" t="str">
        <f>"7         "</f>
        <v xml:space="preserve">7         </v>
      </c>
      <c r="C28" s="45" t="s">
        <v>10</v>
      </c>
      <c r="D28" s="45" t="s">
        <v>662</v>
      </c>
      <c r="E28" s="45" t="s">
        <v>43</v>
      </c>
      <c r="F28" s="45" t="s">
        <v>32</v>
      </c>
      <c r="G28" s="45" t="s">
        <v>33</v>
      </c>
      <c r="H28" s="45" t="s">
        <v>11</v>
      </c>
      <c r="I28" s="45" t="str">
        <f>"07061"</f>
        <v>07061</v>
      </c>
      <c r="J28" s="45">
        <v>0</v>
      </c>
      <c r="K28" s="45">
        <v>7.4300000000000005E-2</v>
      </c>
      <c r="L28" s="47">
        <v>79763</v>
      </c>
      <c r="M28" s="53" t="s">
        <v>1149</v>
      </c>
      <c r="N28" s="9" t="s">
        <v>1147</v>
      </c>
    </row>
    <row r="29" spans="1:14" x14ac:dyDescent="0.3">
      <c r="A29" s="7" t="str">
        <f t="shared" si="5"/>
        <v xml:space="preserve">112       </v>
      </c>
      <c r="B29" s="7" t="str">
        <f>"8         "</f>
        <v xml:space="preserve">8         </v>
      </c>
      <c r="C29" s="7" t="s">
        <v>10</v>
      </c>
      <c r="D29" s="7" t="s">
        <v>662</v>
      </c>
      <c r="E29" s="7" t="s">
        <v>44</v>
      </c>
      <c r="F29" s="7" t="s">
        <v>32</v>
      </c>
      <c r="G29" s="7" t="s">
        <v>45</v>
      </c>
      <c r="H29" s="7" t="s">
        <v>19</v>
      </c>
      <c r="I29" s="7" t="str">
        <f>"07061"</f>
        <v>07061</v>
      </c>
      <c r="J29" s="7">
        <v>1960</v>
      </c>
      <c r="K29" s="7">
        <v>0</v>
      </c>
      <c r="L29" s="7"/>
      <c r="M29" s="53" t="s">
        <v>1127</v>
      </c>
      <c r="N29" s="9" t="s">
        <v>1150</v>
      </c>
    </row>
    <row r="30" spans="1:14" x14ac:dyDescent="0.3">
      <c r="A30" s="7" t="str">
        <f t="shared" si="5"/>
        <v xml:space="preserve">112       </v>
      </c>
      <c r="B30" s="7" t="str">
        <f>"9.02      "</f>
        <v xml:space="preserve">9.02      </v>
      </c>
      <c r="C30" s="7" t="s">
        <v>10</v>
      </c>
      <c r="D30" s="7" t="s">
        <v>662</v>
      </c>
      <c r="E30" s="7" t="s">
        <v>1142</v>
      </c>
      <c r="F30" s="7" t="s">
        <v>1144</v>
      </c>
      <c r="G30" s="7" t="s">
        <v>46</v>
      </c>
      <c r="H30" s="7" t="s">
        <v>47</v>
      </c>
      <c r="I30" s="7" t="str">
        <f>"08802"</f>
        <v>08802</v>
      </c>
      <c r="J30" s="7">
        <v>0</v>
      </c>
      <c r="K30" s="7">
        <v>1.3109999999999999</v>
      </c>
      <c r="L30" s="8">
        <v>79765</v>
      </c>
      <c r="M30" s="53" t="s">
        <v>1084</v>
      </c>
      <c r="N30" s="9" t="s">
        <v>1145</v>
      </c>
    </row>
    <row r="31" spans="1:14" x14ac:dyDescent="0.3">
      <c r="A31" s="11">
        <v>112</v>
      </c>
      <c r="B31" s="11">
        <v>9.0299999999999994</v>
      </c>
      <c r="C31" s="11"/>
      <c r="D31" s="7" t="s">
        <v>662</v>
      </c>
      <c r="E31" s="11" t="s">
        <v>1143</v>
      </c>
      <c r="F31" s="7" t="s">
        <v>1144</v>
      </c>
      <c r="G31" s="7" t="s">
        <v>46</v>
      </c>
      <c r="H31" s="7" t="s">
        <v>47</v>
      </c>
      <c r="I31" s="7" t="str">
        <f>"08802"</f>
        <v>08802</v>
      </c>
      <c r="J31" s="7">
        <v>0</v>
      </c>
      <c r="K31" s="7">
        <v>3.66</v>
      </c>
      <c r="L31" s="8">
        <v>79765</v>
      </c>
      <c r="M31" s="53" t="s">
        <v>1084</v>
      </c>
      <c r="N31" s="9" t="s">
        <v>1146</v>
      </c>
    </row>
    <row r="32" spans="1:14" x14ac:dyDescent="0.3">
      <c r="A32" s="7" t="str">
        <f t="shared" ref="A32:A34" si="6">"113       "</f>
        <v xml:space="preserve">113       </v>
      </c>
      <c r="B32" s="7" t="str">
        <f>"27        "</f>
        <v xml:space="preserve">27        </v>
      </c>
      <c r="C32" s="7" t="s">
        <v>10</v>
      </c>
      <c r="D32" s="7" t="s">
        <v>662</v>
      </c>
      <c r="E32" s="7" t="s">
        <v>388</v>
      </c>
      <c r="F32" s="7" t="s">
        <v>389</v>
      </c>
      <c r="G32" s="7" t="s">
        <v>390</v>
      </c>
      <c r="H32" s="7" t="s">
        <v>391</v>
      </c>
      <c r="I32" s="7" t="str">
        <f>"10580"</f>
        <v>10580</v>
      </c>
      <c r="J32" s="7">
        <v>1921</v>
      </c>
      <c r="K32" s="7">
        <v>0</v>
      </c>
      <c r="L32" s="8">
        <v>67778</v>
      </c>
      <c r="M32" s="8" t="s">
        <v>586</v>
      </c>
      <c r="N32" s="9" t="s">
        <v>611</v>
      </c>
    </row>
    <row r="33" spans="1:14" x14ac:dyDescent="0.3">
      <c r="A33" s="7" t="str">
        <f t="shared" si="6"/>
        <v xml:space="preserve">113       </v>
      </c>
      <c r="B33" s="7" t="str">
        <f>"29        "</f>
        <v xml:space="preserve">29        </v>
      </c>
      <c r="C33" s="7" t="s">
        <v>10</v>
      </c>
      <c r="D33" s="7" t="s">
        <v>662</v>
      </c>
      <c r="E33" s="7" t="s">
        <v>392</v>
      </c>
      <c r="F33" s="7" t="s">
        <v>393</v>
      </c>
      <c r="G33" s="7" t="s">
        <v>394</v>
      </c>
      <c r="H33" s="7" t="s">
        <v>11</v>
      </c>
      <c r="I33" s="7" t="str">
        <f>"07060"</f>
        <v>07060</v>
      </c>
      <c r="J33" s="7">
        <v>1921</v>
      </c>
      <c r="K33" s="7">
        <v>0</v>
      </c>
      <c r="L33" s="7"/>
      <c r="M33" s="8" t="s">
        <v>641</v>
      </c>
      <c r="N33" s="9"/>
    </row>
    <row r="34" spans="1:14" x14ac:dyDescent="0.3">
      <c r="A34" s="7" t="str">
        <f t="shared" si="6"/>
        <v xml:space="preserve">113       </v>
      </c>
      <c r="B34" s="7" t="str">
        <f>"33        "</f>
        <v xml:space="preserve">33        </v>
      </c>
      <c r="C34" s="7" t="s">
        <v>10</v>
      </c>
      <c r="D34" s="7" t="s">
        <v>662</v>
      </c>
      <c r="E34" s="7" t="s">
        <v>395</v>
      </c>
      <c r="F34" s="7" t="s">
        <v>396</v>
      </c>
      <c r="G34" s="7" t="s">
        <v>397</v>
      </c>
      <c r="H34" s="7" t="s">
        <v>11</v>
      </c>
      <c r="I34" s="7" t="str">
        <f t="shared" ref="I34" si="7">"07060"</f>
        <v>07060</v>
      </c>
      <c r="J34" s="7">
        <v>2008</v>
      </c>
      <c r="K34" s="7">
        <v>0.24519999000000001</v>
      </c>
      <c r="L34" s="7"/>
      <c r="M34" s="8" t="s">
        <v>641</v>
      </c>
      <c r="N34" s="9"/>
    </row>
    <row r="35" spans="1:14" x14ac:dyDescent="0.3">
      <c r="A35" s="21">
        <v>114</v>
      </c>
      <c r="B35" s="21">
        <v>15</v>
      </c>
      <c r="C35" s="7"/>
      <c r="D35" s="25" t="s">
        <v>826</v>
      </c>
      <c r="E35" s="25" t="s">
        <v>876</v>
      </c>
      <c r="F35" s="25" t="s">
        <v>936</v>
      </c>
      <c r="G35" s="25" t="s">
        <v>862</v>
      </c>
      <c r="H35" s="22" t="s">
        <v>830</v>
      </c>
      <c r="I35" s="25" t="str">
        <f>"07076"</f>
        <v>07076</v>
      </c>
      <c r="J35" s="25"/>
      <c r="K35" s="25"/>
      <c r="L35" s="25"/>
      <c r="M35" s="8" t="s">
        <v>642</v>
      </c>
      <c r="N35" s="9"/>
    </row>
    <row r="36" spans="1:14" x14ac:dyDescent="0.3">
      <c r="A36" s="21">
        <v>114</v>
      </c>
      <c r="B36" s="21">
        <v>28</v>
      </c>
      <c r="C36" s="7"/>
      <c r="D36" s="25" t="s">
        <v>826</v>
      </c>
      <c r="E36" s="25" t="s">
        <v>877</v>
      </c>
      <c r="F36" s="25" t="s">
        <v>984</v>
      </c>
      <c r="G36" s="25" t="s">
        <v>985</v>
      </c>
      <c r="H36" s="22" t="s">
        <v>986</v>
      </c>
      <c r="I36" s="25" t="str">
        <f>"07060"</f>
        <v>07060</v>
      </c>
      <c r="J36" s="25"/>
      <c r="K36" s="25"/>
      <c r="L36" s="25"/>
      <c r="M36" s="8" t="s">
        <v>641</v>
      </c>
      <c r="N36" s="9"/>
    </row>
    <row r="37" spans="1:14" x14ac:dyDescent="0.3">
      <c r="A37" s="21">
        <v>115</v>
      </c>
      <c r="B37" s="21">
        <v>10</v>
      </c>
      <c r="C37" s="7"/>
      <c r="D37" s="25" t="s">
        <v>826</v>
      </c>
      <c r="E37" s="25" t="s">
        <v>879</v>
      </c>
      <c r="F37" s="25" t="s">
        <v>987</v>
      </c>
      <c r="G37" s="25" t="s">
        <v>988</v>
      </c>
      <c r="H37" s="22" t="s">
        <v>830</v>
      </c>
      <c r="I37" s="25" t="str">
        <f>"07060"</f>
        <v>07060</v>
      </c>
      <c r="J37" s="25"/>
      <c r="K37" s="25"/>
      <c r="L37" s="25"/>
      <c r="M37" s="8" t="s">
        <v>641</v>
      </c>
      <c r="N37" s="9"/>
    </row>
    <row r="38" spans="1:14" x14ac:dyDescent="0.3">
      <c r="A38" s="21">
        <v>116</v>
      </c>
      <c r="B38" s="21">
        <v>20</v>
      </c>
      <c r="C38" s="7"/>
      <c r="D38" s="25" t="s">
        <v>826</v>
      </c>
      <c r="E38" s="25" t="s">
        <v>878</v>
      </c>
      <c r="F38" s="25" t="s">
        <v>989</v>
      </c>
      <c r="G38" s="25" t="s">
        <v>878</v>
      </c>
      <c r="H38" s="22" t="s">
        <v>830</v>
      </c>
      <c r="I38" s="25" t="str">
        <f>"07060"</f>
        <v>07060</v>
      </c>
      <c r="J38" s="25"/>
      <c r="K38" s="25"/>
      <c r="L38" s="25"/>
      <c r="M38" s="8" t="s">
        <v>641</v>
      </c>
      <c r="N38" s="9"/>
    </row>
    <row r="39" spans="1:14" x14ac:dyDescent="0.3">
      <c r="A39" s="7" t="str">
        <f>"117       "</f>
        <v xml:space="preserve">117       </v>
      </c>
      <c r="B39" s="7" t="str">
        <f>"1.01      "</f>
        <v xml:space="preserve">1.01      </v>
      </c>
      <c r="C39" s="7" t="s">
        <v>49</v>
      </c>
      <c r="D39" s="7" t="s">
        <v>662</v>
      </c>
      <c r="E39" s="7" t="s">
        <v>50</v>
      </c>
      <c r="F39" s="7" t="s">
        <v>48</v>
      </c>
      <c r="G39" s="7" t="s">
        <v>51</v>
      </c>
      <c r="H39" s="7" t="s">
        <v>11</v>
      </c>
      <c r="I39" s="7" t="str">
        <f>"07063"</f>
        <v>07063</v>
      </c>
      <c r="J39" s="7" t="s">
        <v>25</v>
      </c>
      <c r="K39" s="7">
        <v>0</v>
      </c>
      <c r="L39" s="8" t="s">
        <v>643</v>
      </c>
      <c r="M39" s="54" t="s">
        <v>880</v>
      </c>
      <c r="N39" s="9" t="s">
        <v>601</v>
      </c>
    </row>
    <row r="40" spans="1:14" x14ac:dyDescent="0.3">
      <c r="A40" s="7" t="str">
        <f>"117       "</f>
        <v xml:space="preserve">117       </v>
      </c>
      <c r="B40" s="7" t="str">
        <f>"1.02      "</f>
        <v xml:space="preserve">1.02      </v>
      </c>
      <c r="C40" s="7" t="s">
        <v>10</v>
      </c>
      <c r="D40" s="7" t="s">
        <v>662</v>
      </c>
      <c r="E40" s="7" t="s">
        <v>52</v>
      </c>
      <c r="F40" s="7" t="s">
        <v>53</v>
      </c>
      <c r="G40" s="7" t="s">
        <v>54</v>
      </c>
      <c r="H40" s="7" t="s">
        <v>55</v>
      </c>
      <c r="I40" s="7" t="str">
        <f>"01719"</f>
        <v>01719</v>
      </c>
      <c r="J40" s="7">
        <v>2001</v>
      </c>
      <c r="K40" s="7">
        <v>1.3774000399999999</v>
      </c>
      <c r="L40" s="8">
        <v>579653</v>
      </c>
      <c r="M40" s="8" t="s">
        <v>587</v>
      </c>
      <c r="N40" s="9" t="s">
        <v>602</v>
      </c>
    </row>
    <row r="41" spans="1:14" x14ac:dyDescent="0.3">
      <c r="A41" s="7" t="str">
        <f>"117       "</f>
        <v xml:space="preserve">117       </v>
      </c>
      <c r="B41" s="7" t="str">
        <f>"2         "</f>
        <v xml:space="preserve">2         </v>
      </c>
      <c r="C41" s="7" t="s">
        <v>10</v>
      </c>
      <c r="D41" s="7" t="s">
        <v>662</v>
      </c>
      <c r="E41" s="7" t="s">
        <v>56</v>
      </c>
      <c r="F41" s="7" t="s">
        <v>57</v>
      </c>
      <c r="G41" s="7" t="s">
        <v>58</v>
      </c>
      <c r="H41" s="7" t="s">
        <v>59</v>
      </c>
      <c r="I41" s="7" t="str">
        <f>"07102"</f>
        <v>07102</v>
      </c>
      <c r="J41" s="7">
        <v>1970</v>
      </c>
      <c r="K41" s="7">
        <v>1.8365000499999999</v>
      </c>
      <c r="L41" s="7"/>
      <c r="M41" s="8" t="s">
        <v>641</v>
      </c>
      <c r="N41" s="9"/>
    </row>
    <row r="42" spans="1:14" x14ac:dyDescent="0.3">
      <c r="A42" s="21">
        <v>120</v>
      </c>
      <c r="B42" s="21">
        <v>3.01</v>
      </c>
      <c r="C42" s="25" t="s">
        <v>826</v>
      </c>
      <c r="D42" s="25"/>
      <c r="E42" s="25" t="s">
        <v>861</v>
      </c>
      <c r="F42" s="25" t="s">
        <v>32</v>
      </c>
      <c r="G42" s="25" t="s">
        <v>862</v>
      </c>
      <c r="H42" s="25" t="s">
        <v>11</v>
      </c>
      <c r="I42" s="25" t="str">
        <f>"07060"</f>
        <v>07060</v>
      </c>
      <c r="J42" s="25"/>
      <c r="K42" s="25"/>
      <c r="L42" s="25"/>
      <c r="M42" s="53" t="s">
        <v>1129</v>
      </c>
      <c r="N42" s="29" t="s">
        <v>863</v>
      </c>
    </row>
    <row r="43" spans="1:14" x14ac:dyDescent="0.3">
      <c r="A43" s="21">
        <v>121</v>
      </c>
      <c r="B43" s="21">
        <v>9</v>
      </c>
      <c r="C43" s="21" t="s">
        <v>826</v>
      </c>
      <c r="D43" s="21"/>
      <c r="E43" s="21" t="s">
        <v>848</v>
      </c>
      <c r="F43" s="21" t="s">
        <v>990</v>
      </c>
      <c r="G43" s="21"/>
      <c r="H43" s="21" t="s">
        <v>831</v>
      </c>
      <c r="I43" s="21" t="s">
        <v>832</v>
      </c>
      <c r="J43" s="21"/>
      <c r="K43" s="21"/>
      <c r="L43" s="21"/>
      <c r="M43" s="53" t="s">
        <v>816</v>
      </c>
      <c r="N43" s="9"/>
    </row>
    <row r="44" spans="1:14" x14ac:dyDescent="0.3">
      <c r="A44" s="21">
        <v>121</v>
      </c>
      <c r="B44" s="21">
        <v>10</v>
      </c>
      <c r="C44" s="21" t="s">
        <v>826</v>
      </c>
      <c r="D44" s="21"/>
      <c r="E44" s="21" t="s">
        <v>881</v>
      </c>
      <c r="F44" s="21" t="s">
        <v>991</v>
      </c>
      <c r="G44" s="21" t="s">
        <v>881</v>
      </c>
      <c r="H44" s="21" t="s">
        <v>831</v>
      </c>
      <c r="I44" s="21" t="s">
        <v>832</v>
      </c>
      <c r="J44" s="21"/>
      <c r="K44" s="21"/>
      <c r="L44" s="21"/>
      <c r="M44" s="8" t="s">
        <v>641</v>
      </c>
      <c r="N44" s="9"/>
    </row>
    <row r="45" spans="1:14" x14ac:dyDescent="0.3">
      <c r="A45" s="21">
        <v>124</v>
      </c>
      <c r="B45" s="21">
        <v>21</v>
      </c>
      <c r="C45" s="21" t="s">
        <v>826</v>
      </c>
      <c r="D45" s="21"/>
      <c r="E45" s="21" t="s">
        <v>882</v>
      </c>
      <c r="F45" s="21" t="s">
        <v>992</v>
      </c>
      <c r="G45" s="21" t="s">
        <v>882</v>
      </c>
      <c r="H45" s="21" t="s">
        <v>831</v>
      </c>
      <c r="I45" s="21" t="s">
        <v>832</v>
      </c>
      <c r="J45" s="21"/>
      <c r="K45" s="21"/>
      <c r="L45" s="21"/>
      <c r="M45" s="8" t="s">
        <v>641</v>
      </c>
      <c r="N45" s="9"/>
    </row>
    <row r="46" spans="1:14" x14ac:dyDescent="0.3">
      <c r="A46" s="21">
        <v>126</v>
      </c>
      <c r="B46" s="21">
        <v>10</v>
      </c>
      <c r="C46" s="21"/>
      <c r="D46" s="21" t="s">
        <v>826</v>
      </c>
      <c r="E46" s="21" t="s">
        <v>883</v>
      </c>
      <c r="F46" s="21" t="s">
        <v>993</v>
      </c>
      <c r="G46" s="21" t="s">
        <v>883</v>
      </c>
      <c r="H46" s="21" t="s">
        <v>831</v>
      </c>
      <c r="I46" s="21" t="s">
        <v>832</v>
      </c>
      <c r="J46" s="21"/>
      <c r="K46" s="21"/>
      <c r="L46" s="21"/>
      <c r="M46" s="8" t="s">
        <v>641</v>
      </c>
      <c r="N46" s="9"/>
    </row>
    <row r="47" spans="1:14" x14ac:dyDescent="0.3">
      <c r="A47" s="7" t="str">
        <f t="shared" ref="A47:A48" si="8">"137       "</f>
        <v xml:space="preserve">137       </v>
      </c>
      <c r="B47" s="7" t="str">
        <f>"1         "</f>
        <v xml:space="preserve">1         </v>
      </c>
      <c r="C47" s="7" t="s">
        <v>10</v>
      </c>
      <c r="D47" s="7" t="s">
        <v>662</v>
      </c>
      <c r="E47" s="7" t="s">
        <v>60</v>
      </c>
      <c r="F47" s="7" t="s">
        <v>61</v>
      </c>
      <c r="G47" s="7" t="s">
        <v>62</v>
      </c>
      <c r="H47" s="7" t="s">
        <v>63</v>
      </c>
      <c r="I47" s="7" t="str">
        <f>"07902"</f>
        <v>07902</v>
      </c>
      <c r="J47" s="7">
        <v>0</v>
      </c>
      <c r="K47" s="7">
        <v>0</v>
      </c>
      <c r="L47" s="8" t="s">
        <v>610</v>
      </c>
      <c r="M47" s="8" t="s">
        <v>590</v>
      </c>
      <c r="N47" s="9"/>
    </row>
    <row r="48" spans="1:14" x14ac:dyDescent="0.3">
      <c r="A48" s="7" t="str">
        <f t="shared" si="8"/>
        <v xml:space="preserve">137       </v>
      </c>
      <c r="B48" s="7" t="str">
        <f>"2         "</f>
        <v xml:space="preserve">2         </v>
      </c>
      <c r="C48" s="7" t="s">
        <v>10</v>
      </c>
      <c r="D48" s="7" t="s">
        <v>662</v>
      </c>
      <c r="E48" s="7" t="s">
        <v>64</v>
      </c>
      <c r="F48" s="7" t="s">
        <v>1117</v>
      </c>
      <c r="G48" s="7" t="s">
        <v>1118</v>
      </c>
      <c r="H48" s="7" t="s">
        <v>1119</v>
      </c>
      <c r="I48" s="7" t="str">
        <f>"08820"</f>
        <v>08820</v>
      </c>
      <c r="J48" s="7">
        <v>1950</v>
      </c>
      <c r="K48" s="7">
        <v>0</v>
      </c>
      <c r="L48" s="7"/>
      <c r="M48" s="8" t="s">
        <v>642</v>
      </c>
      <c r="N48" s="9"/>
    </row>
    <row r="49" spans="1:52" x14ac:dyDescent="0.3">
      <c r="A49" s="7" t="str">
        <f>"202       "</f>
        <v xml:space="preserve">202       </v>
      </c>
      <c r="B49" s="7" t="str">
        <f>"1.02      "</f>
        <v xml:space="preserve">1.02      </v>
      </c>
      <c r="C49" s="7" t="s">
        <v>10</v>
      </c>
      <c r="D49" s="7" t="s">
        <v>662</v>
      </c>
      <c r="E49" s="7" t="s">
        <v>66</v>
      </c>
      <c r="F49" s="7" t="s">
        <v>67</v>
      </c>
      <c r="G49" s="7" t="s">
        <v>68</v>
      </c>
      <c r="H49" s="7" t="s">
        <v>19</v>
      </c>
      <c r="I49" s="7" t="str">
        <f>"07063"</f>
        <v>07063</v>
      </c>
      <c r="J49" s="7" t="s">
        <v>25</v>
      </c>
      <c r="K49" s="7">
        <v>0</v>
      </c>
      <c r="L49" s="8">
        <v>14451</v>
      </c>
      <c r="M49" s="8" t="s">
        <v>590</v>
      </c>
      <c r="N49" s="9"/>
    </row>
    <row r="50" spans="1:52" x14ac:dyDescent="0.3">
      <c r="A50" s="7" t="str">
        <f>"203       "</f>
        <v xml:space="preserve">203       </v>
      </c>
      <c r="B50" s="7" t="str">
        <f>"1         "</f>
        <v xml:space="preserve">1         </v>
      </c>
      <c r="C50" s="7" t="s">
        <v>10</v>
      </c>
      <c r="D50" s="7" t="s">
        <v>662</v>
      </c>
      <c r="E50" s="7" t="s">
        <v>398</v>
      </c>
      <c r="F50" s="7" t="s">
        <v>399</v>
      </c>
      <c r="G50" s="7" t="s">
        <v>400</v>
      </c>
      <c r="H50" s="7" t="s">
        <v>11</v>
      </c>
      <c r="I50" s="7" t="str">
        <f>"07060"</f>
        <v>07060</v>
      </c>
      <c r="J50" s="7">
        <v>0</v>
      </c>
      <c r="K50" s="7">
        <v>0</v>
      </c>
      <c r="L50" s="8">
        <v>257127</v>
      </c>
      <c r="M50" s="8" t="s">
        <v>590</v>
      </c>
      <c r="N50" s="9"/>
    </row>
    <row r="51" spans="1:52" x14ac:dyDescent="0.3">
      <c r="A51" s="7" t="str">
        <f>"203       "</f>
        <v xml:space="preserve">203       </v>
      </c>
      <c r="B51" s="7" t="str">
        <f>"6         "</f>
        <v xml:space="preserve">6         </v>
      </c>
      <c r="C51" s="7" t="s">
        <v>10</v>
      </c>
      <c r="D51" s="7" t="s">
        <v>662</v>
      </c>
      <c r="E51" s="7" t="s">
        <v>401</v>
      </c>
      <c r="F51" s="7" t="s">
        <v>402</v>
      </c>
      <c r="G51" s="7" t="s">
        <v>401</v>
      </c>
      <c r="H51" s="7" t="s">
        <v>11</v>
      </c>
      <c r="I51" s="7" t="str">
        <f>"07063"</f>
        <v>07063</v>
      </c>
      <c r="J51" s="7">
        <v>1951</v>
      </c>
      <c r="K51" s="7">
        <v>0</v>
      </c>
      <c r="L51" s="7"/>
      <c r="M51" s="53" t="s">
        <v>644</v>
      </c>
      <c r="N51" s="9" t="s">
        <v>865</v>
      </c>
    </row>
    <row r="52" spans="1:52" s="1" customFormat="1" x14ac:dyDescent="0.3">
      <c r="A52" s="7" t="str">
        <f>"203       "</f>
        <v xml:space="preserve">203       </v>
      </c>
      <c r="B52" s="7" t="str">
        <f>"7         "</f>
        <v xml:space="preserve">7         </v>
      </c>
      <c r="C52" s="7" t="s">
        <v>10</v>
      </c>
      <c r="D52" s="7" t="s">
        <v>662</v>
      </c>
      <c r="E52" s="7" t="s">
        <v>403</v>
      </c>
      <c r="F52" s="7" t="s">
        <v>404</v>
      </c>
      <c r="G52" s="7" t="s">
        <v>403</v>
      </c>
      <c r="H52" s="7" t="s">
        <v>11</v>
      </c>
      <c r="I52" s="7" t="str">
        <f>"07060"</f>
        <v>07060</v>
      </c>
      <c r="J52" s="7">
        <v>1951</v>
      </c>
      <c r="K52" s="7">
        <v>0</v>
      </c>
      <c r="L52" s="7"/>
      <c r="M52" s="53" t="s">
        <v>644</v>
      </c>
      <c r="N52" s="9" t="s">
        <v>865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1" customFormat="1" x14ac:dyDescent="0.3">
      <c r="A53" s="11">
        <v>204</v>
      </c>
      <c r="B53" s="11">
        <v>6</v>
      </c>
      <c r="C53" s="7"/>
      <c r="D53" s="7" t="s">
        <v>662</v>
      </c>
      <c r="E53" s="7" t="s">
        <v>884</v>
      </c>
      <c r="F53" s="33" t="s">
        <v>1036</v>
      </c>
      <c r="G53" s="7" t="s">
        <v>1037</v>
      </c>
      <c r="H53" s="7" t="s">
        <v>1038</v>
      </c>
      <c r="I53" s="7" t="s">
        <v>1039</v>
      </c>
      <c r="J53" s="7"/>
      <c r="K53" s="7"/>
      <c r="L53" s="7"/>
      <c r="M53" s="8" t="s">
        <v>642</v>
      </c>
      <c r="N53" s="9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</row>
    <row r="54" spans="1:52" s="1" customFormat="1" x14ac:dyDescent="0.3">
      <c r="A54" s="11">
        <v>205</v>
      </c>
      <c r="B54" s="11">
        <v>11</v>
      </c>
      <c r="C54" s="7"/>
      <c r="D54" s="7" t="s">
        <v>662</v>
      </c>
      <c r="E54" s="7" t="s">
        <v>885</v>
      </c>
      <c r="F54" s="33" t="s">
        <v>1040</v>
      </c>
      <c r="G54" s="7" t="s">
        <v>885</v>
      </c>
      <c r="H54" s="7" t="s">
        <v>11</v>
      </c>
      <c r="I54" s="7"/>
      <c r="J54" s="7"/>
      <c r="K54" s="7"/>
      <c r="L54" s="7"/>
      <c r="M54" s="8" t="s">
        <v>642</v>
      </c>
      <c r="N54" s="9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x14ac:dyDescent="0.3">
      <c r="A55" s="7" t="str">
        <f>"207       "</f>
        <v xml:space="preserve">207       </v>
      </c>
      <c r="B55" s="7" t="str">
        <f>"1         "</f>
        <v xml:space="preserve">1         </v>
      </c>
      <c r="C55" s="7" t="s">
        <v>10</v>
      </c>
      <c r="D55" s="7" t="s">
        <v>662</v>
      </c>
      <c r="E55" s="7" t="s">
        <v>405</v>
      </c>
      <c r="F55" s="7" t="s">
        <v>32</v>
      </c>
      <c r="G55" s="7" t="s">
        <v>33</v>
      </c>
      <c r="H55" s="7" t="s">
        <v>19</v>
      </c>
      <c r="I55" s="7" t="str">
        <f>"07060"</f>
        <v>07060</v>
      </c>
      <c r="J55" s="7">
        <v>1975</v>
      </c>
      <c r="K55" s="7">
        <v>9.6979999499999998</v>
      </c>
      <c r="L55" s="8">
        <v>132885</v>
      </c>
      <c r="M55" s="8" t="s">
        <v>645</v>
      </c>
      <c r="N55" s="9" t="s">
        <v>886</v>
      </c>
    </row>
    <row r="56" spans="1:52" x14ac:dyDescent="0.3">
      <c r="A56" s="7" t="str">
        <f>"207       "</f>
        <v xml:space="preserve">207       </v>
      </c>
      <c r="B56" s="7" t="str">
        <f>"2         "</f>
        <v xml:space="preserve">2         </v>
      </c>
      <c r="C56" s="7" t="s">
        <v>10</v>
      </c>
      <c r="D56" s="7" t="s">
        <v>662</v>
      </c>
      <c r="E56" s="7" t="s">
        <v>406</v>
      </c>
      <c r="F56" s="7" t="s">
        <v>407</v>
      </c>
      <c r="G56" s="7" t="s">
        <v>408</v>
      </c>
      <c r="H56" s="7" t="s">
        <v>19</v>
      </c>
      <c r="I56" s="7" t="str">
        <f>"07063"</f>
        <v>07063</v>
      </c>
      <c r="J56" s="7">
        <v>1974</v>
      </c>
      <c r="K56" s="7">
        <v>0</v>
      </c>
      <c r="L56" s="7"/>
      <c r="M56" s="8" t="s">
        <v>641</v>
      </c>
      <c r="N56" s="9"/>
    </row>
    <row r="57" spans="1:52" x14ac:dyDescent="0.3">
      <c r="A57" s="7" t="str">
        <f>"209       "</f>
        <v xml:space="preserve">209       </v>
      </c>
      <c r="B57" s="7" t="str">
        <f>"1         "</f>
        <v xml:space="preserve">1         </v>
      </c>
      <c r="C57" s="7" t="s">
        <v>10</v>
      </c>
      <c r="D57" s="7" t="s">
        <v>662</v>
      </c>
      <c r="E57" s="7" t="s">
        <v>409</v>
      </c>
      <c r="F57" s="7" t="s">
        <v>410</v>
      </c>
      <c r="G57" s="7" t="s">
        <v>58</v>
      </c>
      <c r="H57" s="7" t="s">
        <v>59</v>
      </c>
      <c r="I57" s="7" t="str">
        <f>"07102"</f>
        <v>07102</v>
      </c>
      <c r="J57" s="7">
        <v>1958</v>
      </c>
      <c r="K57" s="7">
        <v>0</v>
      </c>
      <c r="L57" s="7"/>
      <c r="M57" s="8" t="s">
        <v>641</v>
      </c>
      <c r="N57" s="9"/>
    </row>
    <row r="58" spans="1:52" x14ac:dyDescent="0.3">
      <c r="A58" s="21">
        <v>209</v>
      </c>
      <c r="B58" s="21">
        <v>2</v>
      </c>
      <c r="C58" s="25"/>
      <c r="D58" s="25" t="s">
        <v>826</v>
      </c>
      <c r="E58" s="25" t="s">
        <v>887</v>
      </c>
      <c r="F58" s="25" t="s">
        <v>994</v>
      </c>
      <c r="G58" s="25" t="s">
        <v>887</v>
      </c>
      <c r="H58" s="21" t="s">
        <v>831</v>
      </c>
      <c r="I58" s="25"/>
      <c r="J58" s="25"/>
      <c r="K58" s="25"/>
      <c r="L58" s="25"/>
      <c r="M58" s="8" t="s">
        <v>641</v>
      </c>
      <c r="N58" s="9"/>
    </row>
    <row r="59" spans="1:52" x14ac:dyDescent="0.3">
      <c r="A59" s="21">
        <v>209</v>
      </c>
      <c r="B59" s="21">
        <v>3</v>
      </c>
      <c r="C59" s="25"/>
      <c r="D59" s="25" t="s">
        <v>826</v>
      </c>
      <c r="E59" s="25" t="s">
        <v>888</v>
      </c>
      <c r="F59" s="25" t="s">
        <v>995</v>
      </c>
      <c r="G59" s="25" t="s">
        <v>888</v>
      </c>
      <c r="H59" s="21" t="s">
        <v>831</v>
      </c>
      <c r="I59" s="25"/>
      <c r="J59" s="25"/>
      <c r="K59" s="25"/>
      <c r="L59" s="25"/>
      <c r="M59" s="8" t="s">
        <v>641</v>
      </c>
      <c r="N59" s="9"/>
    </row>
    <row r="60" spans="1:52" x14ac:dyDescent="0.3">
      <c r="A60" s="21">
        <v>209</v>
      </c>
      <c r="B60" s="21">
        <v>4</v>
      </c>
      <c r="C60" s="25"/>
      <c r="D60" s="25" t="s">
        <v>826</v>
      </c>
      <c r="E60" s="25" t="s">
        <v>889</v>
      </c>
      <c r="F60" s="25" t="s">
        <v>996</v>
      </c>
      <c r="G60" s="25" t="s">
        <v>889</v>
      </c>
      <c r="H60" s="21" t="s">
        <v>831</v>
      </c>
      <c r="I60" s="25"/>
      <c r="J60" s="25"/>
      <c r="K60" s="25"/>
      <c r="L60" s="25"/>
      <c r="M60" s="8" t="s">
        <v>641</v>
      </c>
      <c r="N60" s="9"/>
    </row>
    <row r="61" spans="1:52" x14ac:dyDescent="0.3">
      <c r="A61" s="21">
        <v>209</v>
      </c>
      <c r="B61" s="21">
        <v>5</v>
      </c>
      <c r="C61" s="25"/>
      <c r="D61" s="25" t="s">
        <v>826</v>
      </c>
      <c r="E61" s="25" t="s">
        <v>890</v>
      </c>
      <c r="F61" s="25" t="s">
        <v>997</v>
      </c>
      <c r="G61" s="25" t="s">
        <v>890</v>
      </c>
      <c r="H61" s="21" t="s">
        <v>831</v>
      </c>
      <c r="I61" s="25"/>
      <c r="J61" s="25"/>
      <c r="K61" s="25"/>
      <c r="L61" s="25"/>
      <c r="M61" s="8" t="s">
        <v>641</v>
      </c>
      <c r="N61" s="9"/>
    </row>
    <row r="62" spans="1:52" x14ac:dyDescent="0.3">
      <c r="A62" s="21">
        <v>209</v>
      </c>
      <c r="B62" s="21">
        <v>6</v>
      </c>
      <c r="C62" s="25"/>
      <c r="D62" s="25" t="s">
        <v>826</v>
      </c>
      <c r="E62" s="25" t="s">
        <v>891</v>
      </c>
      <c r="F62" s="25" t="s">
        <v>998</v>
      </c>
      <c r="G62" s="25" t="s">
        <v>891</v>
      </c>
      <c r="H62" s="21" t="s">
        <v>831</v>
      </c>
      <c r="I62" s="25"/>
      <c r="J62" s="25"/>
      <c r="K62" s="25"/>
      <c r="L62" s="25"/>
      <c r="M62" s="8" t="s">
        <v>641</v>
      </c>
      <c r="N62" s="9"/>
    </row>
    <row r="63" spans="1:52" x14ac:dyDescent="0.3">
      <c r="A63" s="21">
        <v>209</v>
      </c>
      <c r="B63" s="21">
        <v>7</v>
      </c>
      <c r="C63" s="25"/>
      <c r="D63" s="25" t="s">
        <v>826</v>
      </c>
      <c r="E63" s="25" t="s">
        <v>892</v>
      </c>
      <c r="F63" s="25" t="s">
        <v>999</v>
      </c>
      <c r="G63" s="25" t="s">
        <v>892</v>
      </c>
      <c r="H63" s="21" t="s">
        <v>831</v>
      </c>
      <c r="I63" s="25"/>
      <c r="J63" s="25"/>
      <c r="K63" s="25"/>
      <c r="L63" s="25"/>
      <c r="M63" s="8" t="s">
        <v>641</v>
      </c>
      <c r="N63" s="9"/>
    </row>
    <row r="64" spans="1:52" x14ac:dyDescent="0.3">
      <c r="A64" s="21">
        <v>209</v>
      </c>
      <c r="B64" s="21">
        <v>8</v>
      </c>
      <c r="C64" s="25"/>
      <c r="D64" s="25" t="s">
        <v>826</v>
      </c>
      <c r="E64" s="25" t="s">
        <v>893</v>
      </c>
      <c r="F64" s="25" t="s">
        <v>1000</v>
      </c>
      <c r="G64" s="25" t="s">
        <v>893</v>
      </c>
      <c r="H64" s="21" t="s">
        <v>831</v>
      </c>
      <c r="I64" s="25"/>
      <c r="J64" s="25"/>
      <c r="K64" s="25"/>
      <c r="L64" s="25"/>
      <c r="M64" s="8" t="s">
        <v>641</v>
      </c>
      <c r="N64" s="9"/>
    </row>
    <row r="65" spans="1:54" x14ac:dyDescent="0.3">
      <c r="A65" s="21">
        <v>209</v>
      </c>
      <c r="B65" s="21">
        <v>9</v>
      </c>
      <c r="C65" s="25"/>
      <c r="D65" s="25" t="s">
        <v>826</v>
      </c>
      <c r="E65" s="25" t="s">
        <v>894</v>
      </c>
      <c r="F65" s="25" t="s">
        <v>1001</v>
      </c>
      <c r="G65" s="25" t="s">
        <v>894</v>
      </c>
      <c r="H65" s="21" t="s">
        <v>831</v>
      </c>
      <c r="I65" s="25"/>
      <c r="J65" s="25"/>
      <c r="K65" s="25"/>
      <c r="L65" s="25"/>
      <c r="M65" s="8" t="s">
        <v>641</v>
      </c>
      <c r="N65" s="9"/>
    </row>
    <row r="66" spans="1:54" x14ac:dyDescent="0.3">
      <c r="A66" s="21">
        <v>209</v>
      </c>
      <c r="B66" s="21">
        <v>10</v>
      </c>
      <c r="C66" s="25"/>
      <c r="D66" s="25" t="s">
        <v>826</v>
      </c>
      <c r="E66" s="25" t="s">
        <v>895</v>
      </c>
      <c r="F66" s="25" t="s">
        <v>1002</v>
      </c>
      <c r="G66" s="25" t="s">
        <v>895</v>
      </c>
      <c r="H66" s="21" t="s">
        <v>831</v>
      </c>
      <c r="I66" s="25"/>
      <c r="J66" s="25"/>
      <c r="K66" s="25"/>
      <c r="L66" s="25"/>
      <c r="M66" s="8" t="s">
        <v>641</v>
      </c>
      <c r="N66" s="9"/>
    </row>
    <row r="67" spans="1:54" x14ac:dyDescent="0.3">
      <c r="A67" s="21">
        <v>209</v>
      </c>
      <c r="B67" s="21">
        <v>11</v>
      </c>
      <c r="C67" s="25"/>
      <c r="D67" s="25" t="s">
        <v>826</v>
      </c>
      <c r="E67" s="25" t="s">
        <v>896</v>
      </c>
      <c r="F67" s="25" t="s">
        <v>1003</v>
      </c>
      <c r="G67" s="25" t="s">
        <v>1004</v>
      </c>
      <c r="H67" s="21" t="s">
        <v>831</v>
      </c>
      <c r="I67" s="25"/>
      <c r="J67" s="25"/>
      <c r="K67" s="25"/>
      <c r="L67" s="25"/>
      <c r="M67" s="8" t="s">
        <v>641</v>
      </c>
      <c r="N67" s="9"/>
    </row>
    <row r="68" spans="1:54" x14ac:dyDescent="0.3">
      <c r="A68" s="21">
        <v>209</v>
      </c>
      <c r="B68" s="21">
        <v>12</v>
      </c>
      <c r="C68" s="25"/>
      <c r="D68" s="25" t="s">
        <v>826</v>
      </c>
      <c r="E68" s="25" t="s">
        <v>897</v>
      </c>
      <c r="F68" s="25" t="s">
        <v>1003</v>
      </c>
      <c r="G68" s="25" t="s">
        <v>1004</v>
      </c>
      <c r="H68" s="21" t="s">
        <v>831</v>
      </c>
      <c r="I68" s="25"/>
      <c r="J68" s="25"/>
      <c r="K68" s="25"/>
      <c r="L68" s="25"/>
      <c r="M68" s="8" t="s">
        <v>641</v>
      </c>
      <c r="N68" s="9"/>
    </row>
    <row r="69" spans="1:54" x14ac:dyDescent="0.3">
      <c r="A69" s="7" t="str">
        <f>"209       "</f>
        <v xml:space="preserve">209       </v>
      </c>
      <c r="B69" s="7" t="str">
        <f>"13        "</f>
        <v xml:space="preserve">13        </v>
      </c>
      <c r="C69" s="7" t="s">
        <v>10</v>
      </c>
      <c r="D69" s="7" t="s">
        <v>662</v>
      </c>
      <c r="E69" s="7" t="s">
        <v>411</v>
      </c>
      <c r="F69" s="7" t="s">
        <v>412</v>
      </c>
      <c r="G69" s="7" t="s">
        <v>413</v>
      </c>
      <c r="H69" s="7" t="s">
        <v>19</v>
      </c>
      <c r="I69" s="7" t="str">
        <f>"07063"</f>
        <v>07063</v>
      </c>
      <c r="J69" s="7">
        <v>1906</v>
      </c>
      <c r="K69" s="7">
        <v>0</v>
      </c>
      <c r="L69" s="7"/>
      <c r="M69" s="8" t="s">
        <v>641</v>
      </c>
      <c r="N69" s="9"/>
    </row>
    <row r="70" spans="1:54" x14ac:dyDescent="0.3">
      <c r="A70" s="7" t="str">
        <f>"209       "</f>
        <v xml:space="preserve">209       </v>
      </c>
      <c r="B70" s="7" t="str">
        <f>"14        "</f>
        <v xml:space="preserve">14        </v>
      </c>
      <c r="C70" s="7" t="s">
        <v>10</v>
      </c>
      <c r="D70" s="7" t="s">
        <v>662</v>
      </c>
      <c r="E70" s="7" t="s">
        <v>414</v>
      </c>
      <c r="F70" s="7" t="s">
        <v>415</v>
      </c>
      <c r="G70" s="7" t="s">
        <v>416</v>
      </c>
      <c r="H70" s="7" t="s">
        <v>417</v>
      </c>
      <c r="I70" s="7" t="str">
        <f>"08840"</f>
        <v>08840</v>
      </c>
      <c r="J70" s="7">
        <v>1926</v>
      </c>
      <c r="K70" s="7">
        <v>0</v>
      </c>
      <c r="L70" s="7"/>
      <c r="M70" s="8" t="s">
        <v>641</v>
      </c>
      <c r="N70" s="9"/>
    </row>
    <row r="71" spans="1:54" x14ac:dyDescent="0.3">
      <c r="A71" s="7" t="str">
        <f t="shared" ref="A71:A73" si="9">"210       "</f>
        <v xml:space="preserve">210       </v>
      </c>
      <c r="B71" s="7" t="str">
        <f>"2         "</f>
        <v xml:space="preserve">2         </v>
      </c>
      <c r="C71" s="7" t="s">
        <v>10</v>
      </c>
      <c r="D71" s="7" t="s">
        <v>662</v>
      </c>
      <c r="E71" s="7" t="s">
        <v>69</v>
      </c>
      <c r="F71" s="7" t="s">
        <v>70</v>
      </c>
      <c r="G71" s="7" t="s">
        <v>71</v>
      </c>
      <c r="H71" s="7" t="s">
        <v>59</v>
      </c>
      <c r="I71" s="7" t="str">
        <f>"07105"</f>
        <v>07105</v>
      </c>
      <c r="J71" s="7">
        <v>1920</v>
      </c>
      <c r="K71" s="7">
        <v>0</v>
      </c>
      <c r="L71" s="8" t="s">
        <v>646</v>
      </c>
      <c r="M71" s="53" t="s">
        <v>593</v>
      </c>
      <c r="N71" s="9"/>
    </row>
    <row r="72" spans="1:54" x14ac:dyDescent="0.3">
      <c r="A72" s="7" t="str">
        <f t="shared" si="9"/>
        <v xml:space="preserve">210       </v>
      </c>
      <c r="B72" s="7" t="str">
        <f>"3         "</f>
        <v xml:space="preserve">3         </v>
      </c>
      <c r="C72" s="7" t="s">
        <v>10</v>
      </c>
      <c r="D72" s="7" t="s">
        <v>662</v>
      </c>
      <c r="E72" s="7" t="s">
        <v>72</v>
      </c>
      <c r="F72" s="7" t="s">
        <v>73</v>
      </c>
      <c r="G72" s="7" t="s">
        <v>71</v>
      </c>
      <c r="H72" s="7" t="s">
        <v>59</v>
      </c>
      <c r="I72" s="7" t="str">
        <f>"07105"</f>
        <v>07105</v>
      </c>
      <c r="J72" s="7">
        <v>0</v>
      </c>
      <c r="K72" s="7">
        <v>0.20760000000000001</v>
      </c>
      <c r="L72" s="8">
        <v>46504</v>
      </c>
      <c r="M72" s="8" t="s">
        <v>898</v>
      </c>
      <c r="N72" s="9"/>
    </row>
    <row r="73" spans="1:54" x14ac:dyDescent="0.3">
      <c r="A73" s="7" t="str">
        <f t="shared" si="9"/>
        <v xml:space="preserve">210       </v>
      </c>
      <c r="B73" s="7" t="str">
        <f>"4.01      "</f>
        <v xml:space="preserve">4.01      </v>
      </c>
      <c r="C73" s="7" t="s">
        <v>10</v>
      </c>
      <c r="D73" s="7" t="s">
        <v>662</v>
      </c>
      <c r="E73" s="7" t="s">
        <v>74</v>
      </c>
      <c r="F73" s="7" t="s">
        <v>75</v>
      </c>
      <c r="G73" s="7" t="s">
        <v>76</v>
      </c>
      <c r="H73" s="7" t="s">
        <v>19</v>
      </c>
      <c r="I73" s="7" t="str">
        <f>"07061"</f>
        <v>07061</v>
      </c>
      <c r="J73" s="7">
        <v>1940</v>
      </c>
      <c r="K73" s="7">
        <v>0</v>
      </c>
      <c r="L73" s="7"/>
      <c r="M73" s="8" t="s">
        <v>641</v>
      </c>
      <c r="N73" s="9" t="s">
        <v>659</v>
      </c>
    </row>
    <row r="74" spans="1:54" x14ac:dyDescent="0.3">
      <c r="A74" s="7" t="str">
        <f>"211       "</f>
        <v xml:space="preserve">211       </v>
      </c>
      <c r="B74" s="7" t="str">
        <f>"16        "</f>
        <v xml:space="preserve">16        </v>
      </c>
      <c r="C74" s="7" t="s">
        <v>10</v>
      </c>
      <c r="D74" s="7" t="s">
        <v>662</v>
      </c>
      <c r="E74" s="7" t="s">
        <v>418</v>
      </c>
      <c r="F74" s="7" t="s">
        <v>70</v>
      </c>
      <c r="G74" s="7" t="s">
        <v>71</v>
      </c>
      <c r="H74" s="7" t="s">
        <v>59</v>
      </c>
      <c r="I74" s="7" t="str">
        <f>"07105"</f>
        <v>07105</v>
      </c>
      <c r="J74" s="7">
        <v>0</v>
      </c>
      <c r="K74" s="7">
        <v>0.60280001000000005</v>
      </c>
      <c r="L74" s="7"/>
      <c r="M74" s="8" t="s">
        <v>642</v>
      </c>
      <c r="N74" s="9"/>
    </row>
    <row r="75" spans="1:54" x14ac:dyDescent="0.3">
      <c r="A75" s="7" t="str">
        <f>"216       "</f>
        <v xml:space="preserve">216       </v>
      </c>
      <c r="B75" s="7" t="str">
        <f>"2         "</f>
        <v xml:space="preserve">2         </v>
      </c>
      <c r="C75" s="7" t="s">
        <v>10</v>
      </c>
      <c r="D75" s="7" t="s">
        <v>662</v>
      </c>
      <c r="E75" s="7" t="s">
        <v>419</v>
      </c>
      <c r="F75" s="7" t="s">
        <v>420</v>
      </c>
      <c r="G75" s="7" t="s">
        <v>421</v>
      </c>
      <c r="H75" s="7" t="s">
        <v>422</v>
      </c>
      <c r="I75" s="7" t="str">
        <f>"07032"</f>
        <v>07032</v>
      </c>
      <c r="J75" s="7">
        <v>1925</v>
      </c>
      <c r="K75" s="7">
        <v>1.16890001</v>
      </c>
      <c r="L75" s="7"/>
      <c r="M75" s="8" t="s">
        <v>641</v>
      </c>
      <c r="N75" s="9"/>
    </row>
    <row r="76" spans="1:54" x14ac:dyDescent="0.3">
      <c r="A76" s="7" t="str">
        <f>"216       "</f>
        <v xml:space="preserve">216       </v>
      </c>
      <c r="B76" s="7" t="str">
        <f>"3         "</f>
        <v xml:space="preserve">3         </v>
      </c>
      <c r="C76" s="7" t="s">
        <v>10</v>
      </c>
      <c r="D76" s="7" t="s">
        <v>662</v>
      </c>
      <c r="E76" s="7" t="s">
        <v>423</v>
      </c>
      <c r="F76" s="7" t="s">
        <v>424</v>
      </c>
      <c r="G76" s="7" t="s">
        <v>425</v>
      </c>
      <c r="H76" s="7" t="s">
        <v>242</v>
      </c>
      <c r="I76" s="7" t="str">
        <f>"07063"</f>
        <v>07063</v>
      </c>
      <c r="J76" s="7">
        <v>0</v>
      </c>
      <c r="K76" s="7">
        <v>0.12859999999999999</v>
      </c>
      <c r="L76" s="8">
        <v>495740</v>
      </c>
      <c r="M76" s="8" t="s">
        <v>586</v>
      </c>
      <c r="N76" s="9" t="s">
        <v>603</v>
      </c>
    </row>
    <row r="77" spans="1:54" x14ac:dyDescent="0.3">
      <c r="A77" s="7" t="str">
        <f>"217       "</f>
        <v xml:space="preserve">217       </v>
      </c>
      <c r="B77" s="7" t="str">
        <f>"3         "</f>
        <v xml:space="preserve">3         </v>
      </c>
      <c r="C77" s="7" t="s">
        <v>10</v>
      </c>
      <c r="D77" s="7" t="s">
        <v>662</v>
      </c>
      <c r="E77" s="7" t="s">
        <v>426</v>
      </c>
      <c r="F77" s="7" t="s">
        <v>427</v>
      </c>
      <c r="G77" s="7" t="s">
        <v>428</v>
      </c>
      <c r="H77" s="7" t="s">
        <v>264</v>
      </c>
      <c r="I77" s="7" t="str">
        <f>"08854"</f>
        <v>08854</v>
      </c>
      <c r="J77" s="7">
        <v>1945</v>
      </c>
      <c r="K77" s="7">
        <v>0.1226</v>
      </c>
      <c r="L77" s="7"/>
      <c r="M77" s="8" t="s">
        <v>642</v>
      </c>
      <c r="N77" s="9"/>
    </row>
    <row r="78" spans="1:54" x14ac:dyDescent="0.3">
      <c r="A78" s="21">
        <v>223</v>
      </c>
      <c r="B78" s="21">
        <v>2</v>
      </c>
      <c r="C78" s="7"/>
      <c r="D78" s="25" t="s">
        <v>826</v>
      </c>
      <c r="E78" s="25" t="s">
        <v>899</v>
      </c>
      <c r="F78" s="25" t="s">
        <v>900</v>
      </c>
      <c r="G78" s="25"/>
      <c r="H78" s="25" t="s">
        <v>831</v>
      </c>
      <c r="I78" s="25" t="s">
        <v>832</v>
      </c>
      <c r="J78" s="25"/>
      <c r="K78" s="25"/>
      <c r="L78" s="25"/>
      <c r="M78" s="8" t="s">
        <v>641</v>
      </c>
      <c r="N78" s="9"/>
    </row>
    <row r="79" spans="1:54" x14ac:dyDescent="0.3">
      <c r="A79" s="21">
        <v>226</v>
      </c>
      <c r="B79" s="21">
        <v>14</v>
      </c>
      <c r="C79" s="25"/>
      <c r="D79" s="25" t="s">
        <v>826</v>
      </c>
      <c r="E79" s="25" t="s">
        <v>1005</v>
      </c>
      <c r="F79" s="25" t="s">
        <v>1006</v>
      </c>
      <c r="G79" s="25" t="s">
        <v>1005</v>
      </c>
      <c r="H79" s="25" t="s">
        <v>831</v>
      </c>
      <c r="I79" s="25" t="s">
        <v>832</v>
      </c>
      <c r="J79" s="25"/>
      <c r="K79" s="25"/>
      <c r="L79" s="25"/>
      <c r="M79" s="10" t="s">
        <v>586</v>
      </c>
      <c r="N79" s="7"/>
    </row>
    <row r="80" spans="1:54" s="1" customFormat="1" x14ac:dyDescent="0.3">
      <c r="A80" s="7" t="str">
        <f t="shared" ref="A80" si="10">"226       "</f>
        <v xml:space="preserve">226       </v>
      </c>
      <c r="B80" s="7" t="str">
        <f>"22        "</f>
        <v xml:space="preserve">22        </v>
      </c>
      <c r="C80" s="7" t="s">
        <v>10</v>
      </c>
      <c r="D80" s="7" t="s">
        <v>662</v>
      </c>
      <c r="E80" s="7" t="s">
        <v>429</v>
      </c>
      <c r="F80" s="7" t="s">
        <v>430</v>
      </c>
      <c r="G80" s="7" t="s">
        <v>431</v>
      </c>
      <c r="H80" s="7" t="s">
        <v>19</v>
      </c>
      <c r="I80" s="7" t="str">
        <f>"07061"</f>
        <v>07061</v>
      </c>
      <c r="J80" s="7">
        <v>1921</v>
      </c>
      <c r="K80" s="7">
        <v>0</v>
      </c>
      <c r="L80" s="8">
        <v>69139</v>
      </c>
      <c r="M80" s="10" t="s">
        <v>586</v>
      </c>
      <c r="N80" s="9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74" x14ac:dyDescent="0.3">
      <c r="A81" s="7" t="str">
        <f t="shared" ref="A81" si="11">"227       "</f>
        <v xml:space="preserve">227       </v>
      </c>
      <c r="B81" s="7" t="str">
        <f>"4         "</f>
        <v xml:space="preserve">4         </v>
      </c>
      <c r="C81" s="7" t="s">
        <v>10</v>
      </c>
      <c r="D81" s="7" t="s">
        <v>662</v>
      </c>
      <c r="E81" s="7" t="s">
        <v>77</v>
      </c>
      <c r="F81" s="7" t="s">
        <v>78</v>
      </c>
      <c r="G81" s="7" t="s">
        <v>77</v>
      </c>
      <c r="H81" s="7" t="s">
        <v>11</v>
      </c>
      <c r="I81" s="7" t="str">
        <f>"07063"</f>
        <v>07063</v>
      </c>
      <c r="J81" s="7">
        <v>1956</v>
      </c>
      <c r="K81" s="7">
        <v>0.2626</v>
      </c>
      <c r="L81" s="7"/>
      <c r="M81" s="8" t="s">
        <v>642</v>
      </c>
      <c r="N81" s="9"/>
    </row>
    <row r="82" spans="1:74" x14ac:dyDescent="0.3">
      <c r="A82" s="7" t="str">
        <f t="shared" ref="A82:A83" si="12">"227       "</f>
        <v xml:space="preserve">227       </v>
      </c>
      <c r="B82" s="7" t="str">
        <f>"55        "</f>
        <v xml:space="preserve">55        </v>
      </c>
      <c r="C82" s="7" t="s">
        <v>10</v>
      </c>
      <c r="D82" s="7" t="s">
        <v>662</v>
      </c>
      <c r="E82" s="7" t="s">
        <v>79</v>
      </c>
      <c r="F82" s="7" t="s">
        <v>80</v>
      </c>
      <c r="G82" s="7" t="s">
        <v>81</v>
      </c>
      <c r="H82" s="7" t="s">
        <v>11</v>
      </c>
      <c r="I82" s="7" t="str">
        <f>"07063"</f>
        <v>07063</v>
      </c>
      <c r="J82" s="7">
        <v>1925</v>
      </c>
      <c r="K82" s="7">
        <v>0</v>
      </c>
      <c r="L82" s="7"/>
      <c r="M82" s="8" t="s">
        <v>641</v>
      </c>
      <c r="N82" s="9"/>
    </row>
    <row r="83" spans="1:74" x14ac:dyDescent="0.3">
      <c r="A83" s="7" t="str">
        <f t="shared" si="12"/>
        <v xml:space="preserve">227       </v>
      </c>
      <c r="B83" s="7" t="str">
        <f>"60        "</f>
        <v xml:space="preserve">60        </v>
      </c>
      <c r="C83" s="7" t="s">
        <v>10</v>
      </c>
      <c r="D83" s="7" t="s">
        <v>662</v>
      </c>
      <c r="E83" s="7" t="s">
        <v>84</v>
      </c>
      <c r="F83" s="7" t="s">
        <v>85</v>
      </c>
      <c r="G83" s="7" t="s">
        <v>86</v>
      </c>
      <c r="H83" s="7" t="s">
        <v>19</v>
      </c>
      <c r="I83" s="7" t="str">
        <f>"07063"</f>
        <v>07063</v>
      </c>
      <c r="J83" s="7">
        <v>1971</v>
      </c>
      <c r="K83" s="7">
        <v>0</v>
      </c>
      <c r="L83" s="7"/>
      <c r="M83" s="8" t="s">
        <v>642</v>
      </c>
      <c r="N83" s="9"/>
    </row>
    <row r="84" spans="1:74" s="1" customFormat="1" x14ac:dyDescent="0.3">
      <c r="A84" s="7" t="str">
        <f t="shared" ref="A84" si="13">"230       "</f>
        <v xml:space="preserve">230       </v>
      </c>
      <c r="B84" s="7" t="str">
        <f>"66        "</f>
        <v xml:space="preserve">66        </v>
      </c>
      <c r="C84" s="7" t="s">
        <v>10</v>
      </c>
      <c r="D84" s="7" t="s">
        <v>662</v>
      </c>
      <c r="E84" s="7" t="s">
        <v>508</v>
      </c>
      <c r="F84" s="7" t="s">
        <v>509</v>
      </c>
      <c r="G84" s="7" t="s">
        <v>508</v>
      </c>
      <c r="H84" s="7" t="s">
        <v>11</v>
      </c>
      <c r="I84" s="7" t="str">
        <f>"07060"</f>
        <v>07060</v>
      </c>
      <c r="J84" s="7">
        <v>1926</v>
      </c>
      <c r="K84" s="7">
        <v>0.1716</v>
      </c>
      <c r="L84" s="8">
        <v>257789</v>
      </c>
      <c r="M84" s="8" t="s">
        <v>586</v>
      </c>
      <c r="N84" s="9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</row>
    <row r="85" spans="1:74" x14ac:dyDescent="0.3">
      <c r="A85" s="7" t="str">
        <f t="shared" ref="A85:A86" si="14">"231       "</f>
        <v xml:space="preserve">231       </v>
      </c>
      <c r="B85" s="7" t="str">
        <f>"13        "</f>
        <v xml:space="preserve">13        </v>
      </c>
      <c r="C85" s="7" t="s">
        <v>10</v>
      </c>
      <c r="D85" s="7" t="s">
        <v>662</v>
      </c>
      <c r="E85" s="7" t="s">
        <v>88</v>
      </c>
      <c r="F85" s="7" t="s">
        <v>1157</v>
      </c>
      <c r="G85" s="7" t="s">
        <v>89</v>
      </c>
      <c r="H85" s="7" t="s">
        <v>87</v>
      </c>
      <c r="I85" s="7" t="str">
        <f>"08876"</f>
        <v>08876</v>
      </c>
      <c r="J85" s="7">
        <v>1900</v>
      </c>
      <c r="K85" s="7">
        <v>0</v>
      </c>
      <c r="L85" s="7"/>
      <c r="M85" s="53" t="s">
        <v>1155</v>
      </c>
      <c r="N85" s="9" t="s">
        <v>1103</v>
      </c>
    </row>
    <row r="86" spans="1:74" x14ac:dyDescent="0.3">
      <c r="A86" s="7" t="str">
        <f t="shared" si="14"/>
        <v xml:space="preserve">231       </v>
      </c>
      <c r="B86" s="7" t="str">
        <f>"24        "</f>
        <v xml:space="preserve">24        </v>
      </c>
      <c r="C86" s="7" t="s">
        <v>10</v>
      </c>
      <c r="D86" s="7" t="s">
        <v>662</v>
      </c>
      <c r="E86" s="7" t="s">
        <v>90</v>
      </c>
      <c r="F86" s="7" t="s">
        <v>91</v>
      </c>
      <c r="G86" s="7" t="s">
        <v>92</v>
      </c>
      <c r="H86" s="7" t="s">
        <v>19</v>
      </c>
      <c r="I86" s="7" t="str">
        <f>"07061"</f>
        <v>07061</v>
      </c>
      <c r="J86" s="7">
        <v>2002</v>
      </c>
      <c r="K86" s="7">
        <v>0</v>
      </c>
      <c r="L86" s="8" t="s">
        <v>647</v>
      </c>
      <c r="M86" s="8" t="s">
        <v>590</v>
      </c>
      <c r="N86" s="9" t="s">
        <v>1085</v>
      </c>
    </row>
    <row r="87" spans="1:74" x14ac:dyDescent="0.3">
      <c r="A87" s="7" t="str">
        <f t="shared" ref="A87" si="15">"232       "</f>
        <v xml:space="preserve">232       </v>
      </c>
      <c r="B87" s="7" t="str">
        <f>"6         "</f>
        <v xml:space="preserve">6         </v>
      </c>
      <c r="C87" s="7" t="s">
        <v>10</v>
      </c>
      <c r="D87" s="7" t="s">
        <v>662</v>
      </c>
      <c r="E87" s="7" t="s">
        <v>1168</v>
      </c>
      <c r="F87" s="7" t="s">
        <v>93</v>
      </c>
      <c r="G87" s="7" t="s">
        <v>94</v>
      </c>
      <c r="H87" s="7" t="s">
        <v>19</v>
      </c>
      <c r="I87" s="7" t="str">
        <f>"07061"</f>
        <v>07061</v>
      </c>
      <c r="J87" s="7">
        <v>1921</v>
      </c>
      <c r="K87" s="7">
        <v>0</v>
      </c>
      <c r="L87" s="7"/>
      <c r="M87" s="8" t="s">
        <v>1169</v>
      </c>
      <c r="N87" s="9"/>
    </row>
    <row r="88" spans="1:74" x14ac:dyDescent="0.3">
      <c r="A88" s="7" t="str">
        <f t="shared" ref="A88:A91" si="16">"233       "</f>
        <v xml:space="preserve">233       </v>
      </c>
      <c r="B88" s="7" t="str">
        <f>"2         "</f>
        <v xml:space="preserve">2         </v>
      </c>
      <c r="C88" s="7" t="s">
        <v>10</v>
      </c>
      <c r="D88" s="7" t="s">
        <v>662</v>
      </c>
      <c r="E88" s="7" t="s">
        <v>96</v>
      </c>
      <c r="F88" s="7" t="s">
        <v>97</v>
      </c>
      <c r="G88" s="7" t="s">
        <v>98</v>
      </c>
      <c r="H88" s="7" t="s">
        <v>99</v>
      </c>
      <c r="I88" s="7" t="str">
        <f>"08873"</f>
        <v>08873</v>
      </c>
      <c r="J88" s="7">
        <v>1949</v>
      </c>
      <c r="K88" s="7">
        <v>0.63109999999999999</v>
      </c>
      <c r="L88" s="8">
        <v>563220</v>
      </c>
      <c r="M88" s="53" t="s">
        <v>1156</v>
      </c>
      <c r="N88" s="9"/>
    </row>
    <row r="89" spans="1:74" x14ac:dyDescent="0.3">
      <c r="A89" s="7" t="str">
        <f t="shared" si="16"/>
        <v xml:space="preserve">233       </v>
      </c>
      <c r="B89" s="7" t="str">
        <f>"3         "</f>
        <v xml:space="preserve">3         </v>
      </c>
      <c r="C89" s="7" t="s">
        <v>10</v>
      </c>
      <c r="D89" s="7" t="s">
        <v>662</v>
      </c>
      <c r="E89" s="7" t="s">
        <v>100</v>
      </c>
      <c r="F89" s="7" t="s">
        <v>1161</v>
      </c>
      <c r="G89" s="7" t="s">
        <v>101</v>
      </c>
      <c r="H89" s="7" t="s">
        <v>102</v>
      </c>
      <c r="I89" s="7" t="str">
        <f>"10034"</f>
        <v>10034</v>
      </c>
      <c r="J89" s="7">
        <v>1930</v>
      </c>
      <c r="K89" s="7">
        <v>0.68279999000000002</v>
      </c>
      <c r="L89" s="8">
        <v>563220</v>
      </c>
      <c r="M89" s="59" t="s">
        <v>582</v>
      </c>
      <c r="N89" s="9"/>
    </row>
    <row r="90" spans="1:74" x14ac:dyDescent="0.3">
      <c r="A90" s="7" t="str">
        <f t="shared" si="16"/>
        <v xml:space="preserve">233       </v>
      </c>
      <c r="B90" s="7" t="str">
        <f>"4         "</f>
        <v xml:space="preserve">4         </v>
      </c>
      <c r="C90" s="7" t="s">
        <v>10</v>
      </c>
      <c r="D90" s="7" t="s">
        <v>662</v>
      </c>
      <c r="E90" s="7" t="s">
        <v>103</v>
      </c>
      <c r="F90" s="7" t="s">
        <v>1160</v>
      </c>
      <c r="G90" s="7" t="s">
        <v>104</v>
      </c>
      <c r="H90" s="7" t="s">
        <v>11</v>
      </c>
      <c r="I90" s="7" t="str">
        <f>"07060"</f>
        <v>07060</v>
      </c>
      <c r="J90" s="7">
        <v>1955</v>
      </c>
      <c r="K90" s="7">
        <v>0</v>
      </c>
      <c r="L90" s="8">
        <v>563220</v>
      </c>
      <c r="M90" s="59" t="s">
        <v>1159</v>
      </c>
      <c r="N90" s="9"/>
    </row>
    <row r="91" spans="1:74" x14ac:dyDescent="0.3">
      <c r="A91" s="7" t="str">
        <f t="shared" si="16"/>
        <v xml:space="preserve">233       </v>
      </c>
      <c r="B91" s="7" t="str">
        <f>"12        "</f>
        <v xml:space="preserve">12        </v>
      </c>
      <c r="C91" s="7" t="s">
        <v>10</v>
      </c>
      <c r="D91" s="7" t="s">
        <v>662</v>
      </c>
      <c r="E91" s="7" t="s">
        <v>105</v>
      </c>
      <c r="F91" s="7" t="s">
        <v>97</v>
      </c>
      <c r="G91" s="7" t="s">
        <v>106</v>
      </c>
      <c r="H91" s="7" t="s">
        <v>65</v>
      </c>
      <c r="I91" s="7" t="str">
        <f>"08873"</f>
        <v>08873</v>
      </c>
      <c r="J91" s="7">
        <v>1930</v>
      </c>
      <c r="K91" s="7">
        <v>0</v>
      </c>
      <c r="L91" s="8">
        <v>563220</v>
      </c>
      <c r="M91" s="53" t="s">
        <v>1156</v>
      </c>
      <c r="N91" s="9"/>
    </row>
    <row r="92" spans="1:74" x14ac:dyDescent="0.3">
      <c r="A92" s="7" t="str">
        <f t="shared" ref="A92:A93" si="17">"235       "</f>
        <v xml:space="preserve">235       </v>
      </c>
      <c r="B92" s="7" t="str">
        <f>"1         "</f>
        <v xml:space="preserve">1         </v>
      </c>
      <c r="C92" s="7" t="s">
        <v>10</v>
      </c>
      <c r="D92" s="7" t="s">
        <v>662</v>
      </c>
      <c r="E92" s="7" t="s">
        <v>107</v>
      </c>
      <c r="F92" s="7" t="s">
        <v>108</v>
      </c>
      <c r="G92" s="7" t="s">
        <v>109</v>
      </c>
      <c r="H92" s="7" t="s">
        <v>110</v>
      </c>
      <c r="I92" s="7" t="str">
        <f>"07202"</f>
        <v>07202</v>
      </c>
      <c r="J92" s="7">
        <v>1970</v>
      </c>
      <c r="K92" s="7">
        <v>0</v>
      </c>
      <c r="L92" s="7"/>
      <c r="M92" s="8" t="s">
        <v>642</v>
      </c>
      <c r="N92" s="9"/>
    </row>
    <row r="93" spans="1:74" x14ac:dyDescent="0.3">
      <c r="A93" s="33" t="str">
        <f t="shared" si="17"/>
        <v xml:space="preserve">235       </v>
      </c>
      <c r="B93" s="33" t="str">
        <f>"10        "</f>
        <v xml:space="preserve">10        </v>
      </c>
      <c r="C93" s="33" t="s">
        <v>10</v>
      </c>
      <c r="D93" s="33" t="s">
        <v>662</v>
      </c>
      <c r="E93" s="33" t="s">
        <v>1163</v>
      </c>
      <c r="F93" s="33" t="s">
        <v>36</v>
      </c>
      <c r="G93" s="33" t="s">
        <v>37</v>
      </c>
      <c r="H93" s="33" t="s">
        <v>19</v>
      </c>
      <c r="I93" s="33" t="str">
        <f t="shared" ref="I93" si="18">"07060"</f>
        <v>07060</v>
      </c>
      <c r="J93" s="33">
        <v>1961</v>
      </c>
      <c r="K93" s="33">
        <v>3.8599999</v>
      </c>
      <c r="L93" s="60">
        <v>20185</v>
      </c>
      <c r="M93" s="53" t="s">
        <v>1162</v>
      </c>
      <c r="N93" s="9"/>
    </row>
    <row r="94" spans="1:74" x14ac:dyDescent="0.3">
      <c r="A94" s="7" t="str">
        <f t="shared" ref="A94:A98" si="19">"236       "</f>
        <v xml:space="preserve">236       </v>
      </c>
      <c r="B94" s="7" t="str">
        <f>"2.01      "</f>
        <v xml:space="preserve">2.01      </v>
      </c>
      <c r="C94" s="7" t="s">
        <v>10</v>
      </c>
      <c r="D94" s="7" t="s">
        <v>662</v>
      </c>
      <c r="E94" s="7" t="s">
        <v>111</v>
      </c>
      <c r="F94" s="7" t="s">
        <v>112</v>
      </c>
      <c r="G94" s="7" t="s">
        <v>111</v>
      </c>
      <c r="H94" s="7" t="s">
        <v>11</v>
      </c>
      <c r="I94" s="7" t="str">
        <f>"07060"</f>
        <v>07060</v>
      </c>
      <c r="J94" s="7">
        <v>2002</v>
      </c>
      <c r="K94" s="7">
        <v>0</v>
      </c>
      <c r="L94" s="7"/>
      <c r="M94" s="8" t="s">
        <v>641</v>
      </c>
      <c r="N94" s="9"/>
    </row>
    <row r="95" spans="1:74" s="1" customFormat="1" x14ac:dyDescent="0.3">
      <c r="A95" s="7" t="str">
        <f t="shared" si="19"/>
        <v xml:space="preserve">236       </v>
      </c>
      <c r="B95" s="7" t="str">
        <f>"10.01     "</f>
        <v xml:space="preserve">10.01     </v>
      </c>
      <c r="C95" s="7" t="s">
        <v>10</v>
      </c>
      <c r="D95" s="7" t="s">
        <v>662</v>
      </c>
      <c r="E95" s="7" t="s">
        <v>113</v>
      </c>
      <c r="F95" s="7" t="s">
        <v>32</v>
      </c>
      <c r="G95" s="7" t="s">
        <v>33</v>
      </c>
      <c r="H95" s="7" t="s">
        <v>11</v>
      </c>
      <c r="I95" s="7" t="str">
        <f>"07061"</f>
        <v>07061</v>
      </c>
      <c r="J95" s="7" t="s">
        <v>25</v>
      </c>
      <c r="K95" s="7">
        <v>0</v>
      </c>
      <c r="L95" s="8">
        <v>119269</v>
      </c>
      <c r="M95" s="8" t="s">
        <v>587</v>
      </c>
      <c r="N95" s="9" t="s">
        <v>588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74" x14ac:dyDescent="0.3">
      <c r="A96" s="7" t="str">
        <f t="shared" si="19"/>
        <v xml:space="preserve">236       </v>
      </c>
      <c r="B96" s="7" t="str">
        <f>"10.02     "</f>
        <v xml:space="preserve">10.02     </v>
      </c>
      <c r="C96" s="7" t="s">
        <v>10</v>
      </c>
      <c r="D96" s="7" t="s">
        <v>662</v>
      </c>
      <c r="E96" s="7" t="s">
        <v>114</v>
      </c>
      <c r="F96" s="7" t="s">
        <v>32</v>
      </c>
      <c r="G96" s="7" t="s">
        <v>33</v>
      </c>
      <c r="H96" s="7" t="s">
        <v>11</v>
      </c>
      <c r="I96" s="7" t="str">
        <f>"07061"</f>
        <v>07061</v>
      </c>
      <c r="J96" s="7" t="s">
        <v>25</v>
      </c>
      <c r="K96" s="7">
        <v>0</v>
      </c>
      <c r="L96" s="7"/>
      <c r="M96" s="8" t="s">
        <v>641</v>
      </c>
      <c r="N96" s="9"/>
    </row>
    <row r="97" spans="1:39" x14ac:dyDescent="0.3">
      <c r="A97" s="7" t="str">
        <f t="shared" si="19"/>
        <v xml:space="preserve">236       </v>
      </c>
      <c r="B97" s="7" t="str">
        <f>"10.03     "</f>
        <v xml:space="preserve">10.03     </v>
      </c>
      <c r="C97" s="7" t="s">
        <v>10</v>
      </c>
      <c r="D97" s="7" t="s">
        <v>662</v>
      </c>
      <c r="E97" s="7" t="s">
        <v>115</v>
      </c>
      <c r="F97" s="7" t="s">
        <v>32</v>
      </c>
      <c r="G97" s="7" t="s">
        <v>33</v>
      </c>
      <c r="H97" s="7" t="s">
        <v>11</v>
      </c>
      <c r="I97" s="7" t="str">
        <f>"07061"</f>
        <v>07061</v>
      </c>
      <c r="J97" s="7" t="s">
        <v>25</v>
      </c>
      <c r="K97" s="7">
        <v>0</v>
      </c>
      <c r="L97" s="7"/>
      <c r="M97" s="8" t="s">
        <v>641</v>
      </c>
      <c r="N97" s="9"/>
    </row>
    <row r="98" spans="1:39" x14ac:dyDescent="0.3">
      <c r="A98" s="7" t="str">
        <f t="shared" si="19"/>
        <v xml:space="preserve">236       </v>
      </c>
      <c r="B98" s="7" t="str">
        <f>"10.04     "</f>
        <v xml:space="preserve">10.04     </v>
      </c>
      <c r="C98" s="7" t="s">
        <v>10</v>
      </c>
      <c r="D98" s="7" t="s">
        <v>662</v>
      </c>
      <c r="E98" s="7" t="s">
        <v>116</v>
      </c>
      <c r="F98" s="7" t="s">
        <v>32</v>
      </c>
      <c r="G98" s="7" t="s">
        <v>33</v>
      </c>
      <c r="H98" s="7" t="s">
        <v>11</v>
      </c>
      <c r="I98" s="7" t="str">
        <f>"07061"</f>
        <v>07061</v>
      </c>
      <c r="J98" s="7">
        <v>1921</v>
      </c>
      <c r="K98" s="7">
        <v>0</v>
      </c>
      <c r="L98" s="7"/>
      <c r="M98" s="8" t="s">
        <v>641</v>
      </c>
      <c r="N98" s="9"/>
    </row>
    <row r="99" spans="1:39" x14ac:dyDescent="0.3">
      <c r="A99" s="13">
        <v>237</v>
      </c>
      <c r="B99" s="13">
        <v>2</v>
      </c>
      <c r="C99" s="14" t="s">
        <v>663</v>
      </c>
      <c r="D99" s="7" t="s">
        <v>662</v>
      </c>
      <c r="E99" s="14" t="s">
        <v>663</v>
      </c>
      <c r="F99" s="44" t="s">
        <v>1041</v>
      </c>
      <c r="G99" s="14" t="s">
        <v>1042</v>
      </c>
      <c r="H99" s="14" t="s">
        <v>831</v>
      </c>
      <c r="I99" s="14" t="s">
        <v>832</v>
      </c>
      <c r="J99" s="14"/>
      <c r="K99" s="14"/>
      <c r="L99" s="14"/>
      <c r="M99" s="15" t="s">
        <v>642</v>
      </c>
      <c r="N99" s="17" t="s">
        <v>664</v>
      </c>
    </row>
    <row r="100" spans="1:39" x14ac:dyDescent="0.3">
      <c r="A100" s="7" t="str">
        <f t="shared" ref="A100:A101" si="20">"238       "</f>
        <v xml:space="preserve">238       </v>
      </c>
      <c r="B100" s="7" t="str">
        <f>"15        "</f>
        <v xml:space="preserve">15        </v>
      </c>
      <c r="C100" s="7" t="s">
        <v>10</v>
      </c>
      <c r="D100" s="7" t="s">
        <v>662</v>
      </c>
      <c r="E100" s="7" t="s">
        <v>117</v>
      </c>
      <c r="F100" s="7" t="s">
        <v>118</v>
      </c>
      <c r="G100" s="7" t="s">
        <v>119</v>
      </c>
      <c r="H100" s="7" t="s">
        <v>19</v>
      </c>
      <c r="I100" s="7" t="str">
        <f>"07060"</f>
        <v>07060</v>
      </c>
      <c r="J100" s="7">
        <v>0</v>
      </c>
      <c r="K100" s="7">
        <v>0.1148</v>
      </c>
      <c r="L100" s="7"/>
      <c r="M100" s="8" t="s">
        <v>641</v>
      </c>
      <c r="N100" s="9"/>
    </row>
    <row r="101" spans="1:39" x14ac:dyDescent="0.3">
      <c r="A101" s="7" t="str">
        <f t="shared" si="20"/>
        <v xml:space="preserve">238       </v>
      </c>
      <c r="B101" s="7" t="str">
        <f>"16        "</f>
        <v xml:space="preserve">16        </v>
      </c>
      <c r="C101" s="7" t="s">
        <v>10</v>
      </c>
      <c r="D101" s="7" t="s">
        <v>662</v>
      </c>
      <c r="E101" s="7" t="s">
        <v>120</v>
      </c>
      <c r="F101" s="7" t="s">
        <v>121</v>
      </c>
      <c r="G101" s="7" t="s">
        <v>122</v>
      </c>
      <c r="H101" s="7" t="s">
        <v>11</v>
      </c>
      <c r="I101" s="7" t="str">
        <f>"07062"</f>
        <v>07062</v>
      </c>
      <c r="J101" s="7">
        <v>1907</v>
      </c>
      <c r="K101" s="7">
        <v>5.74E-2</v>
      </c>
      <c r="L101" s="7"/>
      <c r="M101" s="8" t="s">
        <v>641</v>
      </c>
      <c r="N101" s="9"/>
    </row>
    <row r="102" spans="1:39" x14ac:dyDescent="0.3">
      <c r="A102" s="7" t="str">
        <f t="shared" ref="A102" si="21">"239       "</f>
        <v xml:space="preserve">239       </v>
      </c>
      <c r="B102" s="7" t="str">
        <f>"25        "</f>
        <v xml:space="preserve">25        </v>
      </c>
      <c r="C102" s="7" t="s">
        <v>10</v>
      </c>
      <c r="D102" s="7" t="s">
        <v>662</v>
      </c>
      <c r="E102" s="7" t="s">
        <v>125</v>
      </c>
      <c r="F102" s="7" t="s">
        <v>126</v>
      </c>
      <c r="G102" s="7" t="s">
        <v>127</v>
      </c>
      <c r="H102" s="7" t="s">
        <v>19</v>
      </c>
      <c r="I102" s="7" t="str">
        <f>"07060"</f>
        <v>07060</v>
      </c>
      <c r="J102" s="7">
        <v>1921</v>
      </c>
      <c r="K102" s="7">
        <v>0</v>
      </c>
      <c r="L102" s="7"/>
      <c r="M102" s="8" t="s">
        <v>641</v>
      </c>
      <c r="N102" s="9"/>
    </row>
    <row r="103" spans="1:39" x14ac:dyDescent="0.3">
      <c r="A103" s="7" t="str">
        <f t="shared" ref="A103:A104" si="22">"240       "</f>
        <v xml:space="preserve">240       </v>
      </c>
      <c r="B103" s="7" t="str">
        <f>"3         "</f>
        <v xml:space="preserve">3         </v>
      </c>
      <c r="C103" s="7" t="s">
        <v>10</v>
      </c>
      <c r="D103" s="7" t="s">
        <v>662</v>
      </c>
      <c r="E103" s="7" t="s">
        <v>511</v>
      </c>
      <c r="F103" s="7" t="s">
        <v>512</v>
      </c>
      <c r="G103" s="7" t="s">
        <v>513</v>
      </c>
      <c r="H103" s="7" t="s">
        <v>26</v>
      </c>
      <c r="I103" s="7" t="str">
        <f>"07060"</f>
        <v>07060</v>
      </c>
      <c r="J103" s="7">
        <v>1955</v>
      </c>
      <c r="K103" s="7">
        <v>0.1883</v>
      </c>
      <c r="L103" s="8">
        <v>44158</v>
      </c>
      <c r="M103" s="53" t="s">
        <v>592</v>
      </c>
      <c r="N103" s="9"/>
    </row>
    <row r="104" spans="1:39" x14ac:dyDescent="0.3">
      <c r="A104" s="7" t="str">
        <f t="shared" si="22"/>
        <v xml:space="preserve">240       </v>
      </c>
      <c r="B104" s="7" t="str">
        <f>"4         "</f>
        <v xml:space="preserve">4         </v>
      </c>
      <c r="C104" s="7" t="s">
        <v>10</v>
      </c>
      <c r="D104" s="7" t="s">
        <v>662</v>
      </c>
      <c r="E104" s="7" t="s">
        <v>514</v>
      </c>
      <c r="F104" s="7" t="s">
        <v>510</v>
      </c>
      <c r="G104" s="7" t="s">
        <v>515</v>
      </c>
      <c r="H104" s="7" t="s">
        <v>83</v>
      </c>
      <c r="I104" s="7" t="str">
        <f>"07470"</f>
        <v>07470</v>
      </c>
      <c r="J104" s="7">
        <v>0</v>
      </c>
      <c r="K104" s="7">
        <v>0.11020000000000001</v>
      </c>
      <c r="L104" s="7"/>
      <c r="M104" s="8" t="s">
        <v>642</v>
      </c>
      <c r="N104" s="9"/>
    </row>
    <row r="105" spans="1:39" x14ac:dyDescent="0.3">
      <c r="A105" s="7" t="str">
        <f t="shared" ref="A105" si="23">"241       "</f>
        <v xml:space="preserve">241       </v>
      </c>
      <c r="B105" s="7" t="str">
        <f>"9.01      "</f>
        <v xml:space="preserve">9.01      </v>
      </c>
      <c r="C105" s="7" t="s">
        <v>10</v>
      </c>
      <c r="D105" s="7" t="s">
        <v>662</v>
      </c>
      <c r="E105" s="7" t="s">
        <v>516</v>
      </c>
      <c r="F105" s="7" t="s">
        <v>517</v>
      </c>
      <c r="G105" s="7" t="s">
        <v>518</v>
      </c>
      <c r="H105" s="7" t="s">
        <v>266</v>
      </c>
      <c r="I105" s="7" t="str">
        <f>"07060"</f>
        <v>07060</v>
      </c>
      <c r="J105" s="7">
        <v>0</v>
      </c>
      <c r="K105" s="7">
        <v>0</v>
      </c>
      <c r="L105" s="8">
        <v>420630</v>
      </c>
      <c r="M105" s="53" t="s">
        <v>594</v>
      </c>
      <c r="N105" s="9" t="s">
        <v>619</v>
      </c>
    </row>
    <row r="106" spans="1:39" x14ac:dyDescent="0.3">
      <c r="A106" s="7" t="str">
        <f t="shared" ref="A106:A107" si="24">"242       "</f>
        <v xml:space="preserve">242       </v>
      </c>
      <c r="B106" s="7" t="str">
        <f>"3         "</f>
        <v xml:space="preserve">3         </v>
      </c>
      <c r="C106" s="7" t="s">
        <v>10</v>
      </c>
      <c r="D106" s="7" t="s">
        <v>662</v>
      </c>
      <c r="E106" s="7" t="s">
        <v>128</v>
      </c>
      <c r="F106" s="7" t="s">
        <v>129</v>
      </c>
      <c r="G106" s="7" t="s">
        <v>130</v>
      </c>
      <c r="H106" s="7" t="s">
        <v>82</v>
      </c>
      <c r="I106" s="7" t="str">
        <f>"07069"</f>
        <v>07069</v>
      </c>
      <c r="J106" s="7">
        <v>1900</v>
      </c>
      <c r="K106" s="7">
        <v>0</v>
      </c>
      <c r="L106" s="7"/>
      <c r="M106" s="8" t="s">
        <v>642</v>
      </c>
      <c r="N106" s="9"/>
    </row>
    <row r="107" spans="1:39" s="1" customFormat="1" x14ac:dyDescent="0.3">
      <c r="A107" s="7" t="str">
        <f t="shared" si="24"/>
        <v xml:space="preserve">242       </v>
      </c>
      <c r="B107" s="7" t="str">
        <f>"14        "</f>
        <v xml:space="preserve">14        </v>
      </c>
      <c r="C107" s="7" t="s">
        <v>10</v>
      </c>
      <c r="D107" s="7" t="s">
        <v>662</v>
      </c>
      <c r="E107" s="7" t="s">
        <v>131</v>
      </c>
      <c r="F107" s="7" t="s">
        <v>132</v>
      </c>
      <c r="G107" s="7" t="s">
        <v>133</v>
      </c>
      <c r="H107" s="7" t="s">
        <v>110</v>
      </c>
      <c r="I107" s="7" t="str">
        <f>"07208"</f>
        <v>07208</v>
      </c>
      <c r="J107" s="7">
        <v>1926</v>
      </c>
      <c r="K107" s="7">
        <v>0</v>
      </c>
      <c r="L107" s="8">
        <v>533046</v>
      </c>
      <c r="M107" s="8" t="s">
        <v>590</v>
      </c>
      <c r="N107" s="9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</row>
    <row r="108" spans="1:39" x14ac:dyDescent="0.3">
      <c r="A108" s="7" t="str">
        <f>"243       "</f>
        <v xml:space="preserve">243       </v>
      </c>
      <c r="B108" s="7" t="str">
        <f>"1         "</f>
        <v xml:space="preserve">1         </v>
      </c>
      <c r="C108" s="7" t="s">
        <v>10</v>
      </c>
      <c r="D108" s="7" t="s">
        <v>662</v>
      </c>
      <c r="E108" s="7" t="s">
        <v>134</v>
      </c>
      <c r="F108" s="7" t="s">
        <v>135</v>
      </c>
      <c r="G108" s="7" t="s">
        <v>136</v>
      </c>
      <c r="H108" s="7" t="s">
        <v>19</v>
      </c>
      <c r="I108" s="7" t="str">
        <f>"07061"</f>
        <v>07061</v>
      </c>
      <c r="J108" s="7">
        <v>1955</v>
      </c>
      <c r="K108" s="7">
        <v>0</v>
      </c>
      <c r="L108" s="7"/>
      <c r="M108" s="8" t="s">
        <v>642</v>
      </c>
      <c r="N108" s="9"/>
    </row>
    <row r="109" spans="1:39" x14ac:dyDescent="0.3">
      <c r="A109" s="7" t="str">
        <f>"243       "</f>
        <v xml:space="preserve">243       </v>
      </c>
      <c r="B109" s="7" t="str">
        <f>"2         "</f>
        <v xml:space="preserve">2         </v>
      </c>
      <c r="C109" s="7" t="s">
        <v>10</v>
      </c>
      <c r="D109" s="7" t="s">
        <v>662</v>
      </c>
      <c r="E109" s="7" t="s">
        <v>137</v>
      </c>
      <c r="F109" s="7" t="s">
        <v>138</v>
      </c>
      <c r="G109" s="7" t="s">
        <v>139</v>
      </c>
      <c r="H109" s="7" t="s">
        <v>11</v>
      </c>
      <c r="I109" s="7" t="str">
        <f>"07063"</f>
        <v>07063</v>
      </c>
      <c r="J109" s="7">
        <v>1925</v>
      </c>
      <c r="K109" s="7">
        <v>0</v>
      </c>
      <c r="L109" s="7"/>
      <c r="M109" s="8" t="s">
        <v>642</v>
      </c>
      <c r="N109" s="9"/>
    </row>
    <row r="110" spans="1:39" x14ac:dyDescent="0.3">
      <c r="A110" s="7" t="str">
        <f>"244       "</f>
        <v xml:space="preserve">244       </v>
      </c>
      <c r="B110" s="7" t="str">
        <f>"1         "</f>
        <v xml:space="preserve">1         </v>
      </c>
      <c r="C110" s="7" t="s">
        <v>10</v>
      </c>
      <c r="D110" s="7" t="s">
        <v>662</v>
      </c>
      <c r="E110" s="7" t="s">
        <v>140</v>
      </c>
      <c r="F110" s="7" t="s">
        <v>32</v>
      </c>
      <c r="G110" s="7" t="s">
        <v>33</v>
      </c>
      <c r="H110" s="7" t="s">
        <v>19</v>
      </c>
      <c r="I110" s="7" t="str">
        <f>"07061"</f>
        <v>07061</v>
      </c>
      <c r="J110" s="7">
        <v>0</v>
      </c>
      <c r="K110" s="7">
        <v>0.93120002999999996</v>
      </c>
      <c r="L110" s="7"/>
      <c r="M110" s="8" t="s">
        <v>641</v>
      </c>
      <c r="N110" s="9"/>
    </row>
    <row r="111" spans="1:39" x14ac:dyDescent="0.3">
      <c r="A111" s="7" t="str">
        <f t="shared" ref="A111:A113" si="25">"245       "</f>
        <v xml:space="preserve">245       </v>
      </c>
      <c r="B111" s="7" t="str">
        <f>"1         "</f>
        <v xml:space="preserve">1         </v>
      </c>
      <c r="C111" s="7" t="s">
        <v>10</v>
      </c>
      <c r="D111" s="7" t="s">
        <v>662</v>
      </c>
      <c r="E111" s="7" t="s">
        <v>141</v>
      </c>
      <c r="F111" s="7" t="s">
        <v>32</v>
      </c>
      <c r="G111" s="7" t="s">
        <v>33</v>
      </c>
      <c r="H111" s="7" t="s">
        <v>19</v>
      </c>
      <c r="I111" s="7" t="str">
        <f>"07061"</f>
        <v>07061</v>
      </c>
      <c r="J111" s="7">
        <v>1925</v>
      </c>
      <c r="K111" s="7">
        <v>0</v>
      </c>
      <c r="L111" s="8">
        <v>495855</v>
      </c>
      <c r="M111" s="53" t="s">
        <v>1128</v>
      </c>
      <c r="N111" s="9" t="s">
        <v>618</v>
      </c>
    </row>
    <row r="112" spans="1:39" x14ac:dyDescent="0.3">
      <c r="A112" s="7" t="str">
        <f t="shared" si="25"/>
        <v xml:space="preserve">245       </v>
      </c>
      <c r="B112" s="7" t="str">
        <f>"2         "</f>
        <v xml:space="preserve">2         </v>
      </c>
      <c r="C112" s="7" t="s">
        <v>10</v>
      </c>
      <c r="D112" s="7" t="s">
        <v>662</v>
      </c>
      <c r="E112" s="7" t="s">
        <v>142</v>
      </c>
      <c r="F112" s="7" t="s">
        <v>143</v>
      </c>
      <c r="G112" s="7" t="s">
        <v>144</v>
      </c>
      <c r="H112" s="7" t="s">
        <v>59</v>
      </c>
      <c r="I112" s="7" t="str">
        <f>"07102"</f>
        <v>07102</v>
      </c>
      <c r="J112" s="7">
        <v>1950</v>
      </c>
      <c r="K112" s="7">
        <v>0</v>
      </c>
      <c r="L112" s="8">
        <v>523778</v>
      </c>
      <c r="M112" s="8" t="s">
        <v>617</v>
      </c>
      <c r="N112" s="9"/>
    </row>
    <row r="113" spans="1:14" x14ac:dyDescent="0.3">
      <c r="A113" s="7" t="str">
        <f t="shared" si="25"/>
        <v xml:space="preserve">245       </v>
      </c>
      <c r="B113" s="7" t="str">
        <f>"7.02      "</f>
        <v xml:space="preserve">7.02      </v>
      </c>
      <c r="C113" s="7" t="s">
        <v>10</v>
      </c>
      <c r="D113" s="7" t="s">
        <v>662</v>
      </c>
      <c r="E113" s="7" t="s">
        <v>146</v>
      </c>
      <c r="F113" s="7" t="s">
        <v>147</v>
      </c>
      <c r="G113" s="7" t="s">
        <v>145</v>
      </c>
      <c r="H113" s="7" t="s">
        <v>95</v>
      </c>
      <c r="I113" s="7" t="str">
        <f>"07305"</f>
        <v>07305</v>
      </c>
      <c r="J113" s="7">
        <v>1900</v>
      </c>
      <c r="K113" s="7">
        <v>0</v>
      </c>
      <c r="L113" s="7"/>
      <c r="M113" s="8" t="s">
        <v>641</v>
      </c>
      <c r="N113" s="9"/>
    </row>
    <row r="114" spans="1:14" x14ac:dyDescent="0.3">
      <c r="A114" s="7" t="str">
        <f>"246       "</f>
        <v xml:space="preserve">246       </v>
      </c>
      <c r="B114" s="7" t="str">
        <f>"1         "</f>
        <v xml:space="preserve">1         </v>
      </c>
      <c r="C114" s="7" t="s">
        <v>10</v>
      </c>
      <c r="D114" s="7" t="s">
        <v>662</v>
      </c>
      <c r="E114" s="7" t="s">
        <v>519</v>
      </c>
      <c r="F114" s="7" t="s">
        <v>520</v>
      </c>
      <c r="G114" s="7" t="s">
        <v>521</v>
      </c>
      <c r="H114" s="7" t="s">
        <v>110</v>
      </c>
      <c r="I114" s="7" t="str">
        <f>"07207"</f>
        <v>07207</v>
      </c>
      <c r="J114" s="7">
        <v>2005</v>
      </c>
      <c r="K114" s="7">
        <v>4</v>
      </c>
      <c r="L114" s="7" t="s">
        <v>605</v>
      </c>
      <c r="M114" s="8" t="s">
        <v>585</v>
      </c>
      <c r="N114" s="9" t="s">
        <v>604</v>
      </c>
    </row>
    <row r="115" spans="1:14" x14ac:dyDescent="0.3">
      <c r="A115" s="7" t="str">
        <f t="shared" ref="A115:A119" si="26">"247       "</f>
        <v xml:space="preserve">247       </v>
      </c>
      <c r="B115" s="7" t="str">
        <f>"1         "</f>
        <v xml:space="preserve">1         </v>
      </c>
      <c r="C115" s="7" t="s">
        <v>10</v>
      </c>
      <c r="D115" s="7" t="s">
        <v>662</v>
      </c>
      <c r="E115" s="7" t="s">
        <v>149</v>
      </c>
      <c r="F115" s="7" t="s">
        <v>32</v>
      </c>
      <c r="G115" s="7" t="s">
        <v>33</v>
      </c>
      <c r="H115" s="7" t="s">
        <v>19</v>
      </c>
      <c r="I115" s="7" t="str">
        <f>"07060"</f>
        <v>07060</v>
      </c>
      <c r="J115" s="7">
        <v>0</v>
      </c>
      <c r="K115" s="7">
        <v>0.19889999999999999</v>
      </c>
      <c r="L115" s="7"/>
      <c r="M115" s="8" t="s">
        <v>641</v>
      </c>
      <c r="N115" s="9"/>
    </row>
    <row r="116" spans="1:14" x14ac:dyDescent="0.3">
      <c r="A116" s="7" t="str">
        <f t="shared" si="26"/>
        <v xml:space="preserve">247       </v>
      </c>
      <c r="B116" s="7" t="str">
        <f>"5         "</f>
        <v xml:space="preserve">5         </v>
      </c>
      <c r="C116" s="7" t="s">
        <v>10</v>
      </c>
      <c r="D116" s="7" t="s">
        <v>662</v>
      </c>
      <c r="E116" s="7" t="s">
        <v>150</v>
      </c>
      <c r="F116" s="7" t="s">
        <v>151</v>
      </c>
      <c r="G116" s="7" t="s">
        <v>152</v>
      </c>
      <c r="H116" s="7" t="s">
        <v>11</v>
      </c>
      <c r="I116" s="7" t="str">
        <f>"07060"</f>
        <v>07060</v>
      </c>
      <c r="J116" s="7">
        <v>1894</v>
      </c>
      <c r="K116" s="7">
        <v>0</v>
      </c>
      <c r="L116" s="7"/>
      <c r="M116" s="8" t="s">
        <v>642</v>
      </c>
      <c r="N116" s="9"/>
    </row>
    <row r="117" spans="1:14" x14ac:dyDescent="0.3">
      <c r="A117" s="7" t="str">
        <f t="shared" si="26"/>
        <v xml:space="preserve">247       </v>
      </c>
      <c r="B117" s="7" t="str">
        <f>"6         "</f>
        <v xml:space="preserve">6         </v>
      </c>
      <c r="C117" s="7" t="s">
        <v>10</v>
      </c>
      <c r="D117" s="7" t="s">
        <v>662</v>
      </c>
      <c r="E117" s="7" t="s">
        <v>153</v>
      </c>
      <c r="F117" s="7" t="s">
        <v>151</v>
      </c>
      <c r="G117" s="7" t="s">
        <v>154</v>
      </c>
      <c r="H117" s="7" t="s">
        <v>19</v>
      </c>
      <c r="I117" s="7" t="str">
        <f>"07060"</f>
        <v>07060</v>
      </c>
      <c r="J117" s="7">
        <v>1894</v>
      </c>
      <c r="K117" s="7">
        <v>0</v>
      </c>
      <c r="L117" s="7"/>
      <c r="M117" s="8" t="s">
        <v>642</v>
      </c>
      <c r="N117" s="9"/>
    </row>
    <row r="118" spans="1:14" x14ac:dyDescent="0.3">
      <c r="A118" s="7" t="str">
        <f t="shared" si="26"/>
        <v xml:space="preserve">247       </v>
      </c>
      <c r="B118" s="7" t="str">
        <f>"7         "</f>
        <v xml:space="preserve">7         </v>
      </c>
      <c r="C118" s="7" t="s">
        <v>10</v>
      </c>
      <c r="D118" s="7" t="s">
        <v>662</v>
      </c>
      <c r="E118" s="7" t="s">
        <v>155</v>
      </c>
      <c r="F118" s="7" t="s">
        <v>32</v>
      </c>
      <c r="G118" s="7" t="s">
        <v>33</v>
      </c>
      <c r="H118" s="7" t="s">
        <v>19</v>
      </c>
      <c r="I118" s="7" t="str">
        <f>"07061"</f>
        <v>07061</v>
      </c>
      <c r="J118" s="7">
        <v>0</v>
      </c>
      <c r="K118" s="7">
        <v>0</v>
      </c>
      <c r="L118" s="8">
        <v>546851</v>
      </c>
      <c r="M118" s="53" t="s">
        <v>593</v>
      </c>
      <c r="N118" s="9"/>
    </row>
    <row r="119" spans="1:14" x14ac:dyDescent="0.3">
      <c r="A119" s="7" t="str">
        <f t="shared" si="26"/>
        <v xml:space="preserve">247       </v>
      </c>
      <c r="B119" s="7" t="str">
        <f>"8         "</f>
        <v xml:space="preserve">8         </v>
      </c>
      <c r="C119" s="7" t="s">
        <v>10</v>
      </c>
      <c r="D119" s="7" t="s">
        <v>662</v>
      </c>
      <c r="E119" s="7" t="s">
        <v>156</v>
      </c>
      <c r="F119" s="7" t="s">
        <v>157</v>
      </c>
      <c r="G119" s="7" t="s">
        <v>158</v>
      </c>
      <c r="H119" s="7" t="s">
        <v>11</v>
      </c>
      <c r="I119" s="7" t="str">
        <f>"07060"</f>
        <v>07060</v>
      </c>
      <c r="J119" s="7">
        <v>0</v>
      </c>
      <c r="K119" s="7">
        <v>0</v>
      </c>
      <c r="L119" s="7"/>
      <c r="M119" s="8" t="s">
        <v>642</v>
      </c>
      <c r="N119" s="9"/>
    </row>
    <row r="120" spans="1:14" x14ac:dyDescent="0.3">
      <c r="A120" s="7" t="str">
        <f t="shared" ref="A120:A121" si="27">"248       "</f>
        <v xml:space="preserve">248       </v>
      </c>
      <c r="B120" s="7" t="str">
        <f>"4         "</f>
        <v xml:space="preserve">4         </v>
      </c>
      <c r="C120" s="7" t="s">
        <v>10</v>
      </c>
      <c r="D120" s="7" t="s">
        <v>662</v>
      </c>
      <c r="E120" s="7" t="s">
        <v>159</v>
      </c>
      <c r="F120" s="7" t="s">
        <v>160</v>
      </c>
      <c r="G120" s="7" t="s">
        <v>161</v>
      </c>
      <c r="H120" s="7" t="s">
        <v>162</v>
      </c>
      <c r="I120" s="7" t="str">
        <f>"07080"</f>
        <v>07080</v>
      </c>
      <c r="J120" s="7">
        <v>1890</v>
      </c>
      <c r="K120" s="7">
        <v>0</v>
      </c>
      <c r="L120" s="7"/>
      <c r="M120" s="8" t="s">
        <v>642</v>
      </c>
      <c r="N120" s="9"/>
    </row>
    <row r="121" spans="1:14" x14ac:dyDescent="0.3">
      <c r="A121" s="7" t="str">
        <f t="shared" si="27"/>
        <v xml:space="preserve">248       </v>
      </c>
      <c r="B121" s="7" t="str">
        <f>"7         "</f>
        <v xml:space="preserve">7         </v>
      </c>
      <c r="C121" s="7" t="s">
        <v>10</v>
      </c>
      <c r="D121" s="7" t="s">
        <v>662</v>
      </c>
      <c r="E121" s="7" t="s">
        <v>164</v>
      </c>
      <c r="F121" s="7" t="s">
        <v>165</v>
      </c>
      <c r="G121" s="7" t="s">
        <v>163</v>
      </c>
      <c r="H121" s="7" t="s">
        <v>11</v>
      </c>
      <c r="I121" s="7" t="str">
        <f>"07060"</f>
        <v>07060</v>
      </c>
      <c r="J121" s="7">
        <v>1925</v>
      </c>
      <c r="K121" s="7">
        <v>0</v>
      </c>
      <c r="L121" s="7"/>
      <c r="M121" s="8" t="s">
        <v>642</v>
      </c>
      <c r="N121" s="9"/>
    </row>
    <row r="122" spans="1:14" x14ac:dyDescent="0.3">
      <c r="A122" s="7" t="str">
        <f t="shared" ref="A122:A123" si="28">"249       "</f>
        <v xml:space="preserve">249       </v>
      </c>
      <c r="B122" s="7" t="str">
        <f>"2         "</f>
        <v xml:space="preserve">2         </v>
      </c>
      <c r="C122" s="7" t="s">
        <v>10</v>
      </c>
      <c r="D122" s="7" t="s">
        <v>662</v>
      </c>
      <c r="E122" s="7" t="s">
        <v>522</v>
      </c>
      <c r="F122" s="7" t="s">
        <v>523</v>
      </c>
      <c r="G122" s="7" t="s">
        <v>524</v>
      </c>
      <c r="H122" s="7" t="s">
        <v>264</v>
      </c>
      <c r="I122" s="7" t="str">
        <f>"08854"</f>
        <v>08854</v>
      </c>
      <c r="J122" s="7">
        <v>1885</v>
      </c>
      <c r="K122" s="7">
        <v>8.4400000000000003E-2</v>
      </c>
      <c r="L122" s="8"/>
      <c r="M122" s="8" t="s">
        <v>641</v>
      </c>
      <c r="N122" s="9"/>
    </row>
    <row r="123" spans="1:14" x14ac:dyDescent="0.3">
      <c r="A123" s="7" t="str">
        <f t="shared" si="28"/>
        <v xml:space="preserve">249       </v>
      </c>
      <c r="B123" s="7" t="str">
        <f>"9         "</f>
        <v xml:space="preserve">9         </v>
      </c>
      <c r="C123" s="7" t="s">
        <v>10</v>
      </c>
      <c r="D123" s="7" t="s">
        <v>662</v>
      </c>
      <c r="E123" s="7" t="s">
        <v>525</v>
      </c>
      <c r="F123" s="7" t="s">
        <v>32</v>
      </c>
      <c r="G123" s="7" t="s">
        <v>33</v>
      </c>
      <c r="H123" s="7" t="s">
        <v>19</v>
      </c>
      <c r="I123" s="7" t="str">
        <f>"07061"</f>
        <v>07061</v>
      </c>
      <c r="J123" s="7">
        <v>0</v>
      </c>
      <c r="K123" s="7">
        <v>1.25339997</v>
      </c>
      <c r="L123" s="8">
        <v>129621</v>
      </c>
      <c r="M123" s="53" t="s">
        <v>970</v>
      </c>
      <c r="N123" s="9" t="s">
        <v>635</v>
      </c>
    </row>
    <row r="124" spans="1:14" x14ac:dyDescent="0.3">
      <c r="A124" s="7" t="str">
        <f t="shared" ref="A124:A136" si="29">"250       "</f>
        <v xml:space="preserve">250       </v>
      </c>
      <c r="B124" s="7" t="str">
        <f>"2         "</f>
        <v xml:space="preserve">2         </v>
      </c>
      <c r="C124" s="7" t="s">
        <v>10</v>
      </c>
      <c r="D124" s="7" t="s">
        <v>662</v>
      </c>
      <c r="E124" s="7" t="s">
        <v>166</v>
      </c>
      <c r="F124" s="7" t="s">
        <v>167</v>
      </c>
      <c r="G124" s="7" t="s">
        <v>168</v>
      </c>
      <c r="H124" s="7" t="s">
        <v>169</v>
      </c>
      <c r="I124" s="7" t="str">
        <f>"08053"</f>
        <v>08053</v>
      </c>
      <c r="J124" s="7">
        <v>0</v>
      </c>
      <c r="K124" s="7">
        <v>0</v>
      </c>
      <c r="L124" s="8">
        <v>68327</v>
      </c>
      <c r="M124" s="8" t="s">
        <v>630</v>
      </c>
      <c r="N124" s="9"/>
    </row>
    <row r="125" spans="1:14" x14ac:dyDescent="0.3">
      <c r="A125" s="7" t="str">
        <f t="shared" si="29"/>
        <v xml:space="preserve">250       </v>
      </c>
      <c r="B125" s="7" t="str">
        <f>"3.01      "</f>
        <v xml:space="preserve">3.01      </v>
      </c>
      <c r="C125" s="7" t="s">
        <v>10</v>
      </c>
      <c r="D125" s="7" t="s">
        <v>662</v>
      </c>
      <c r="E125" s="7" t="s">
        <v>170</v>
      </c>
      <c r="F125" s="7" t="s">
        <v>171</v>
      </c>
      <c r="G125" s="7" t="s">
        <v>168</v>
      </c>
      <c r="H125" s="7" t="s">
        <v>172</v>
      </c>
      <c r="I125" s="7" t="str">
        <f>"08053"</f>
        <v>08053</v>
      </c>
      <c r="J125" s="7">
        <v>0</v>
      </c>
      <c r="K125" s="7">
        <v>0</v>
      </c>
      <c r="L125" s="8">
        <v>93214</v>
      </c>
      <c r="M125" s="8" t="s">
        <v>630</v>
      </c>
      <c r="N125" s="9"/>
    </row>
    <row r="126" spans="1:14" x14ac:dyDescent="0.3">
      <c r="A126" s="7" t="str">
        <f t="shared" si="29"/>
        <v xml:space="preserve">250       </v>
      </c>
      <c r="B126" s="7" t="str">
        <f>"4.01      "</f>
        <v xml:space="preserve">4.01      </v>
      </c>
      <c r="C126" s="7" t="s">
        <v>10</v>
      </c>
      <c r="D126" s="7" t="s">
        <v>662</v>
      </c>
      <c r="E126" s="7" t="s">
        <v>173</v>
      </c>
      <c r="F126" s="7" t="s">
        <v>167</v>
      </c>
      <c r="G126" s="7" t="s">
        <v>168</v>
      </c>
      <c r="H126" s="7" t="s">
        <v>169</v>
      </c>
      <c r="I126" s="7" t="str">
        <f>"08053"</f>
        <v>08053</v>
      </c>
      <c r="J126" s="7">
        <v>0</v>
      </c>
      <c r="K126" s="7">
        <v>3.0499999999999999E-2</v>
      </c>
      <c r="L126" s="8">
        <v>93214</v>
      </c>
      <c r="M126" s="8" t="s">
        <v>630</v>
      </c>
      <c r="N126" s="9"/>
    </row>
    <row r="127" spans="1:14" x14ac:dyDescent="0.3">
      <c r="A127" s="7" t="str">
        <f t="shared" si="29"/>
        <v xml:space="preserve">250       </v>
      </c>
      <c r="B127" s="7" t="str">
        <f>"5.01      "</f>
        <v xml:space="preserve">5.01      </v>
      </c>
      <c r="C127" s="7" t="s">
        <v>10</v>
      </c>
      <c r="D127" s="7" t="s">
        <v>662</v>
      </c>
      <c r="E127" s="7" t="s">
        <v>174</v>
      </c>
      <c r="F127" s="7" t="s">
        <v>167</v>
      </c>
      <c r="G127" s="7" t="s">
        <v>168</v>
      </c>
      <c r="H127" s="7" t="s">
        <v>172</v>
      </c>
      <c r="I127" s="7" t="str">
        <f>"08053"</f>
        <v>08053</v>
      </c>
      <c r="J127" s="7">
        <v>1925</v>
      </c>
      <c r="K127" s="7">
        <v>0</v>
      </c>
      <c r="L127" s="8">
        <v>93214</v>
      </c>
      <c r="M127" s="8" t="s">
        <v>630</v>
      </c>
      <c r="N127" s="9"/>
    </row>
    <row r="128" spans="1:14" x14ac:dyDescent="0.3">
      <c r="A128" s="7" t="str">
        <f t="shared" si="29"/>
        <v xml:space="preserve">250       </v>
      </c>
      <c r="B128" s="7" t="str">
        <f>"6.01      "</f>
        <v xml:space="preserve">6.01      </v>
      </c>
      <c r="C128" s="7" t="s">
        <v>10</v>
      </c>
      <c r="D128" s="7" t="s">
        <v>662</v>
      </c>
      <c r="E128" s="7" t="s">
        <v>175</v>
      </c>
      <c r="F128" s="7" t="s">
        <v>176</v>
      </c>
      <c r="G128" s="7" t="s">
        <v>168</v>
      </c>
      <c r="H128" s="7" t="s">
        <v>172</v>
      </c>
      <c r="I128" s="7" t="str">
        <f>"08053"</f>
        <v>08053</v>
      </c>
      <c r="J128" s="7">
        <v>1905</v>
      </c>
      <c r="K128" s="7">
        <v>0</v>
      </c>
      <c r="L128" s="8">
        <v>93214</v>
      </c>
      <c r="M128" s="8" t="s">
        <v>630</v>
      </c>
      <c r="N128" s="9"/>
    </row>
    <row r="129" spans="1:15" x14ac:dyDescent="0.3">
      <c r="A129" s="7" t="str">
        <f t="shared" si="29"/>
        <v xml:space="preserve">250       </v>
      </c>
      <c r="B129" s="7" t="str">
        <f>"7.01      "</f>
        <v xml:space="preserve">7.01      </v>
      </c>
      <c r="C129" s="7" t="s">
        <v>10</v>
      </c>
      <c r="D129" s="7" t="s">
        <v>662</v>
      </c>
      <c r="E129" s="7" t="s">
        <v>177</v>
      </c>
      <c r="F129" s="7" t="s">
        <v>32</v>
      </c>
      <c r="G129" s="7" t="s">
        <v>33</v>
      </c>
      <c r="H129" s="7" t="s">
        <v>19</v>
      </c>
      <c r="I129" s="7" t="str">
        <f>"07061"</f>
        <v>07061</v>
      </c>
      <c r="J129" s="7">
        <v>1920</v>
      </c>
      <c r="K129" s="7">
        <v>0</v>
      </c>
      <c r="L129" s="8">
        <v>93214</v>
      </c>
      <c r="M129" s="8" t="s">
        <v>630</v>
      </c>
      <c r="N129" s="9"/>
    </row>
    <row r="130" spans="1:15" x14ac:dyDescent="0.3">
      <c r="A130" s="7" t="str">
        <f t="shared" si="29"/>
        <v xml:space="preserve">250       </v>
      </c>
      <c r="B130" s="7" t="str">
        <f>"7.02      "</f>
        <v xml:space="preserve">7.02      </v>
      </c>
      <c r="C130" s="7" t="s">
        <v>10</v>
      </c>
      <c r="D130" s="7" t="s">
        <v>662</v>
      </c>
      <c r="E130" s="7" t="s">
        <v>178</v>
      </c>
      <c r="F130" s="7" t="s">
        <v>179</v>
      </c>
      <c r="G130" s="7" t="s">
        <v>180</v>
      </c>
      <c r="H130" s="7" t="s">
        <v>11</v>
      </c>
      <c r="I130" s="7" t="str">
        <f>"07060"</f>
        <v>07060</v>
      </c>
      <c r="J130" s="7" t="s">
        <v>25</v>
      </c>
      <c r="K130" s="7">
        <v>0</v>
      </c>
      <c r="L130" s="8">
        <v>93214</v>
      </c>
      <c r="M130" s="8" t="s">
        <v>630</v>
      </c>
      <c r="N130" s="16"/>
    </row>
    <row r="131" spans="1:15" x14ac:dyDescent="0.3">
      <c r="A131" s="7" t="str">
        <f t="shared" si="29"/>
        <v xml:space="preserve">250       </v>
      </c>
      <c r="B131" s="7" t="str">
        <f>"7.03      "</f>
        <v xml:space="preserve">7.03      </v>
      </c>
      <c r="C131" s="7" t="s">
        <v>10</v>
      </c>
      <c r="D131" s="7" t="s">
        <v>662</v>
      </c>
      <c r="E131" s="7" t="s">
        <v>178</v>
      </c>
      <c r="F131" s="7" t="s">
        <v>179</v>
      </c>
      <c r="G131" s="7" t="s">
        <v>181</v>
      </c>
      <c r="H131" s="7" t="s">
        <v>11</v>
      </c>
      <c r="I131" s="7" t="str">
        <f>"07060"</f>
        <v>07060</v>
      </c>
      <c r="J131" s="7" t="s">
        <v>25</v>
      </c>
      <c r="K131" s="7">
        <v>0</v>
      </c>
      <c r="L131" s="8">
        <v>93214</v>
      </c>
      <c r="M131" s="8" t="s">
        <v>630</v>
      </c>
      <c r="N131" s="16"/>
    </row>
    <row r="132" spans="1:15" x14ac:dyDescent="0.3">
      <c r="A132" s="7" t="str">
        <f t="shared" si="29"/>
        <v xml:space="preserve">250       </v>
      </c>
      <c r="B132" s="7" t="str">
        <f>"7.04      "</f>
        <v xml:space="preserve">7.04      </v>
      </c>
      <c r="C132" s="7" t="s">
        <v>10</v>
      </c>
      <c r="D132" s="7" t="s">
        <v>662</v>
      </c>
      <c r="E132" s="7" t="s">
        <v>178</v>
      </c>
      <c r="F132" s="7" t="s">
        <v>179</v>
      </c>
      <c r="G132" s="7" t="s">
        <v>181</v>
      </c>
      <c r="H132" s="7" t="s">
        <v>11</v>
      </c>
      <c r="I132" s="7" t="str">
        <f>"07060"</f>
        <v>07060</v>
      </c>
      <c r="J132" s="7" t="s">
        <v>25</v>
      </c>
      <c r="K132" s="7">
        <v>0</v>
      </c>
      <c r="L132" s="8">
        <v>93214</v>
      </c>
      <c r="M132" s="8" t="s">
        <v>630</v>
      </c>
      <c r="N132" s="16"/>
    </row>
    <row r="133" spans="1:15" x14ac:dyDescent="0.3">
      <c r="A133" s="7" t="str">
        <f t="shared" si="29"/>
        <v xml:space="preserve">250       </v>
      </c>
      <c r="B133" s="7" t="str">
        <f>"7.05      "</f>
        <v xml:space="preserve">7.05      </v>
      </c>
      <c r="C133" s="7" t="s">
        <v>10</v>
      </c>
      <c r="D133" s="7" t="s">
        <v>662</v>
      </c>
      <c r="E133" s="7" t="s">
        <v>178</v>
      </c>
      <c r="F133" s="7" t="s">
        <v>179</v>
      </c>
      <c r="G133" s="7" t="s">
        <v>181</v>
      </c>
      <c r="H133" s="7" t="s">
        <v>11</v>
      </c>
      <c r="I133" s="7" t="str">
        <f>"07060"</f>
        <v>07060</v>
      </c>
      <c r="J133" s="7" t="s">
        <v>25</v>
      </c>
      <c r="K133" s="7">
        <v>0</v>
      </c>
      <c r="L133" s="8">
        <v>93214</v>
      </c>
      <c r="M133" s="8" t="s">
        <v>630</v>
      </c>
      <c r="N133" s="16"/>
    </row>
    <row r="134" spans="1:15" x14ac:dyDescent="0.3">
      <c r="A134" s="7" t="str">
        <f t="shared" si="29"/>
        <v xml:space="preserve">250       </v>
      </c>
      <c r="B134" s="7" t="str">
        <f>"7.06      "</f>
        <v xml:space="preserve">7.06      </v>
      </c>
      <c r="C134" s="7" t="s">
        <v>10</v>
      </c>
      <c r="D134" s="7" t="s">
        <v>662</v>
      </c>
      <c r="E134" s="7" t="s">
        <v>182</v>
      </c>
      <c r="F134" s="7" t="s">
        <v>167</v>
      </c>
      <c r="G134" s="7" t="s">
        <v>168</v>
      </c>
      <c r="H134" s="7" t="s">
        <v>169</v>
      </c>
      <c r="I134" s="7" t="str">
        <f>"08053"</f>
        <v>08053</v>
      </c>
      <c r="J134" s="7">
        <v>0</v>
      </c>
      <c r="K134" s="7">
        <v>0</v>
      </c>
      <c r="L134" s="8">
        <v>93214</v>
      </c>
      <c r="M134" s="8" t="s">
        <v>630</v>
      </c>
      <c r="N134" s="16"/>
    </row>
    <row r="135" spans="1:15" x14ac:dyDescent="0.3">
      <c r="A135" s="7" t="str">
        <f t="shared" si="29"/>
        <v xml:space="preserve">250       </v>
      </c>
      <c r="B135" s="7" t="str">
        <f>"8         "</f>
        <v xml:space="preserve">8         </v>
      </c>
      <c r="C135" s="7" t="s">
        <v>10</v>
      </c>
      <c r="D135" s="7" t="s">
        <v>662</v>
      </c>
      <c r="E135" s="7" t="s">
        <v>183</v>
      </c>
      <c r="F135" s="7" t="s">
        <v>167</v>
      </c>
      <c r="G135" s="7" t="s">
        <v>168</v>
      </c>
      <c r="H135" s="7" t="s">
        <v>172</v>
      </c>
      <c r="I135" s="7" t="str">
        <f>"08053"</f>
        <v>08053</v>
      </c>
      <c r="J135" s="7">
        <v>0</v>
      </c>
      <c r="K135" s="7">
        <v>0</v>
      </c>
      <c r="L135" s="8">
        <v>93214</v>
      </c>
      <c r="M135" s="8" t="s">
        <v>630</v>
      </c>
      <c r="N135" s="9"/>
    </row>
    <row r="136" spans="1:15" x14ac:dyDescent="0.3">
      <c r="A136" s="7" t="str">
        <f t="shared" si="29"/>
        <v xml:space="preserve">250       </v>
      </c>
      <c r="B136" s="7" t="str">
        <f>"9         "</f>
        <v xml:space="preserve">9         </v>
      </c>
      <c r="C136" s="7" t="s">
        <v>10</v>
      </c>
      <c r="D136" s="7" t="s">
        <v>662</v>
      </c>
      <c r="E136" s="7" t="s">
        <v>184</v>
      </c>
      <c r="F136" s="7" t="s">
        <v>167</v>
      </c>
      <c r="G136" s="7" t="s">
        <v>168</v>
      </c>
      <c r="H136" s="7" t="s">
        <v>169</v>
      </c>
      <c r="I136" s="7" t="str">
        <f>"08053"</f>
        <v>08053</v>
      </c>
      <c r="J136" s="7">
        <v>0</v>
      </c>
      <c r="K136" s="7">
        <v>0</v>
      </c>
      <c r="L136" s="8">
        <v>93214</v>
      </c>
      <c r="M136" s="8" t="s">
        <v>630</v>
      </c>
      <c r="N136" s="9"/>
    </row>
    <row r="137" spans="1:15" x14ac:dyDescent="0.3">
      <c r="A137" s="7" t="str">
        <f>"302       "</f>
        <v xml:space="preserve">302       </v>
      </c>
      <c r="B137" s="7" t="str">
        <f>"2         "</f>
        <v xml:space="preserve">2         </v>
      </c>
      <c r="C137" s="7" t="s">
        <v>10</v>
      </c>
      <c r="D137" s="11" t="s">
        <v>662</v>
      </c>
      <c r="E137" s="7" t="s">
        <v>432</v>
      </c>
      <c r="F137" s="7" t="s">
        <v>433</v>
      </c>
      <c r="G137" s="7" t="s">
        <v>434</v>
      </c>
      <c r="H137" s="7" t="s">
        <v>19</v>
      </c>
      <c r="I137" s="7" t="str">
        <f>"07061"</f>
        <v>07061</v>
      </c>
      <c r="J137" s="7">
        <v>0</v>
      </c>
      <c r="K137" s="7"/>
      <c r="L137" s="40" t="s">
        <v>971</v>
      </c>
      <c r="M137" s="53" t="s">
        <v>973</v>
      </c>
      <c r="N137" s="9" t="s">
        <v>972</v>
      </c>
    </row>
    <row r="138" spans="1:15" x14ac:dyDescent="0.3">
      <c r="A138" s="13">
        <v>304</v>
      </c>
      <c r="B138" s="13">
        <v>10</v>
      </c>
      <c r="C138" s="14" t="s">
        <v>665</v>
      </c>
      <c r="D138" s="13" t="s">
        <v>662</v>
      </c>
      <c r="E138" s="14" t="s">
        <v>665</v>
      </c>
      <c r="F138" s="14" t="s">
        <v>666</v>
      </c>
      <c r="G138" s="7"/>
      <c r="H138" s="14" t="s">
        <v>286</v>
      </c>
      <c r="I138" s="14" t="str">
        <f>"07114"</f>
        <v>07114</v>
      </c>
      <c r="J138" s="14">
        <v>1927</v>
      </c>
      <c r="K138" s="14"/>
      <c r="L138" s="15">
        <v>67045</v>
      </c>
      <c r="M138" s="15" t="s">
        <v>590</v>
      </c>
      <c r="N138" s="17" t="s">
        <v>667</v>
      </c>
      <c r="O138" s="12"/>
    </row>
    <row r="139" spans="1:15" x14ac:dyDescent="0.3">
      <c r="A139" s="7" t="str">
        <f>"305       "</f>
        <v xml:space="preserve">305       </v>
      </c>
      <c r="B139" s="7" t="str">
        <f>"1         "</f>
        <v xml:space="preserve">1         </v>
      </c>
      <c r="C139" s="7" t="s">
        <v>10</v>
      </c>
      <c r="D139" s="7" t="s">
        <v>662</v>
      </c>
      <c r="E139" s="7" t="s">
        <v>526</v>
      </c>
      <c r="F139" s="7" t="s">
        <v>195</v>
      </c>
      <c r="G139" s="7" t="s">
        <v>196</v>
      </c>
      <c r="H139" s="7" t="s">
        <v>11</v>
      </c>
      <c r="I139" s="7" t="str">
        <f>"07060"</f>
        <v>07060</v>
      </c>
      <c r="J139" s="7">
        <v>1956</v>
      </c>
      <c r="K139" s="7">
        <v>0</v>
      </c>
      <c r="L139" s="8">
        <v>563220</v>
      </c>
      <c r="M139" s="55" t="s">
        <v>1138</v>
      </c>
      <c r="N139" s="9"/>
    </row>
    <row r="140" spans="1:15" x14ac:dyDescent="0.3">
      <c r="A140" s="7" t="str">
        <f>"305       "</f>
        <v xml:space="preserve">305       </v>
      </c>
      <c r="B140" s="7" t="str">
        <f>"2.01      "</f>
        <v xml:space="preserve">2.01      </v>
      </c>
      <c r="C140" s="7" t="s">
        <v>10</v>
      </c>
      <c r="D140" s="7" t="s">
        <v>662</v>
      </c>
      <c r="E140" s="7" t="s">
        <v>527</v>
      </c>
      <c r="F140" s="7" t="s">
        <v>199</v>
      </c>
      <c r="G140" s="7" t="s">
        <v>196</v>
      </c>
      <c r="H140" s="7" t="s">
        <v>11</v>
      </c>
      <c r="I140" s="7" t="str">
        <f>"07060"</f>
        <v>07060</v>
      </c>
      <c r="J140" s="7">
        <v>0</v>
      </c>
      <c r="K140" s="7">
        <v>0</v>
      </c>
      <c r="L140" s="8">
        <v>563220</v>
      </c>
      <c r="M140" s="55" t="s">
        <v>1138</v>
      </c>
      <c r="N140" s="9"/>
    </row>
    <row r="141" spans="1:15" x14ac:dyDescent="0.3">
      <c r="A141" s="33" t="str">
        <f t="shared" ref="A141:A147" si="30">"306       "</f>
        <v xml:space="preserve">306       </v>
      </c>
      <c r="B141" s="33" t="str">
        <f>"19        "</f>
        <v xml:space="preserve">19        </v>
      </c>
      <c r="C141" s="33" t="s">
        <v>10</v>
      </c>
      <c r="D141" s="33" t="s">
        <v>662</v>
      </c>
      <c r="E141" s="33" t="s">
        <v>193</v>
      </c>
      <c r="F141" s="33" t="s">
        <v>187</v>
      </c>
      <c r="G141" s="33" t="s">
        <v>188</v>
      </c>
      <c r="H141" s="33" t="s">
        <v>189</v>
      </c>
      <c r="I141" s="33" t="str">
        <f>"08806"</f>
        <v>08806</v>
      </c>
      <c r="J141" s="33">
        <v>0</v>
      </c>
      <c r="K141" s="33">
        <v>0</v>
      </c>
      <c r="L141" s="46">
        <v>485502</v>
      </c>
      <c r="M141" s="55" t="s">
        <v>1138</v>
      </c>
      <c r="N141" s="9"/>
    </row>
    <row r="142" spans="1:15" x14ac:dyDescent="0.3">
      <c r="A142" s="7" t="str">
        <f t="shared" si="30"/>
        <v xml:space="preserve">306       </v>
      </c>
      <c r="B142" s="7" t="str">
        <f>"20.01     "</f>
        <v xml:space="preserve">20.01     </v>
      </c>
      <c r="C142" s="7" t="s">
        <v>10</v>
      </c>
      <c r="D142" s="7" t="s">
        <v>662</v>
      </c>
      <c r="E142" s="7" t="s">
        <v>194</v>
      </c>
      <c r="F142" s="7" t="s">
        <v>195</v>
      </c>
      <c r="G142" s="7" t="s">
        <v>196</v>
      </c>
      <c r="H142" s="7" t="s">
        <v>11</v>
      </c>
      <c r="I142" s="7" t="str">
        <f>"07060"</f>
        <v>07060</v>
      </c>
      <c r="J142" s="7">
        <v>0</v>
      </c>
      <c r="K142" s="7">
        <v>5.5399999999999998E-2</v>
      </c>
      <c r="L142" s="8">
        <v>563220</v>
      </c>
      <c r="M142" s="55" t="s">
        <v>1138</v>
      </c>
      <c r="N142" s="9"/>
    </row>
    <row r="143" spans="1:15" x14ac:dyDescent="0.3">
      <c r="A143" s="7" t="str">
        <f t="shared" si="30"/>
        <v xml:space="preserve">306       </v>
      </c>
      <c r="B143" s="11">
        <v>24.01</v>
      </c>
      <c r="C143" s="7" t="s">
        <v>10</v>
      </c>
      <c r="D143" s="7" t="s">
        <v>662</v>
      </c>
      <c r="E143" s="7" t="s">
        <v>198</v>
      </c>
      <c r="F143" s="7" t="s">
        <v>199</v>
      </c>
      <c r="G143" s="7" t="s">
        <v>196</v>
      </c>
      <c r="H143" s="7" t="s">
        <v>11</v>
      </c>
      <c r="I143" s="7" t="str">
        <f>"07060"</f>
        <v>07060</v>
      </c>
      <c r="J143" s="7">
        <v>0</v>
      </c>
      <c r="K143" s="7">
        <v>0.2492</v>
      </c>
      <c r="L143" s="8">
        <v>563220</v>
      </c>
      <c r="M143" s="55" t="s">
        <v>1138</v>
      </c>
      <c r="N143" s="9"/>
    </row>
    <row r="144" spans="1:15" x14ac:dyDescent="0.3">
      <c r="A144" s="7" t="str">
        <f t="shared" si="30"/>
        <v xml:space="preserve">306       </v>
      </c>
      <c r="B144" s="7" t="str">
        <f>"26        "</f>
        <v xml:space="preserve">26        </v>
      </c>
      <c r="C144" s="7" t="s">
        <v>10</v>
      </c>
      <c r="D144" s="7" t="s">
        <v>662</v>
      </c>
      <c r="E144" s="7" t="s">
        <v>200</v>
      </c>
      <c r="F144" s="7" t="s">
        <v>199</v>
      </c>
      <c r="G144" s="7" t="s">
        <v>196</v>
      </c>
      <c r="H144" s="7" t="s">
        <v>11</v>
      </c>
      <c r="I144" s="7" t="str">
        <f>"07060"</f>
        <v>07060</v>
      </c>
      <c r="J144" s="7">
        <v>1942</v>
      </c>
      <c r="K144" s="7">
        <v>0.22120000000000001</v>
      </c>
      <c r="L144" s="8" t="s">
        <v>583</v>
      </c>
      <c r="M144" s="55" t="s">
        <v>1138</v>
      </c>
      <c r="N144" s="9"/>
    </row>
    <row r="145" spans="1:14" x14ac:dyDescent="0.3">
      <c r="A145" s="7" t="str">
        <f t="shared" si="30"/>
        <v xml:space="preserve">306       </v>
      </c>
      <c r="B145" s="7" t="str">
        <f>"27        "</f>
        <v xml:space="preserve">27        </v>
      </c>
      <c r="C145" s="7" t="s">
        <v>10</v>
      </c>
      <c r="D145" s="7" t="s">
        <v>662</v>
      </c>
      <c r="E145" s="7" t="s">
        <v>201</v>
      </c>
      <c r="F145" s="7" t="s">
        <v>195</v>
      </c>
      <c r="G145" s="7" t="s">
        <v>196</v>
      </c>
      <c r="H145" s="7" t="s">
        <v>19</v>
      </c>
      <c r="I145" s="7" t="str">
        <f>"07060"</f>
        <v>07060</v>
      </c>
      <c r="J145" s="7">
        <v>1991</v>
      </c>
      <c r="K145" s="7">
        <v>0</v>
      </c>
      <c r="L145" s="8" t="s">
        <v>583</v>
      </c>
      <c r="M145" s="55" t="s">
        <v>1138</v>
      </c>
      <c r="N145" s="9"/>
    </row>
    <row r="146" spans="1:14" x14ac:dyDescent="0.3">
      <c r="A146" s="33" t="str">
        <f t="shared" si="30"/>
        <v xml:space="preserve">306       </v>
      </c>
      <c r="B146" s="33" t="str">
        <f>"28        "</f>
        <v xml:space="preserve">28        </v>
      </c>
      <c r="C146" s="33" t="s">
        <v>10</v>
      </c>
      <c r="D146" s="33" t="s">
        <v>662</v>
      </c>
      <c r="E146" s="33" t="s">
        <v>202</v>
      </c>
      <c r="F146" s="33" t="s">
        <v>203</v>
      </c>
      <c r="G146" s="33" t="s">
        <v>204</v>
      </c>
      <c r="H146" s="33" t="s">
        <v>189</v>
      </c>
      <c r="I146" s="33" t="str">
        <f>"08836"</f>
        <v>08836</v>
      </c>
      <c r="J146" s="33">
        <v>1945</v>
      </c>
      <c r="K146" s="33">
        <v>0.23450001000000001</v>
      </c>
      <c r="L146" s="33"/>
      <c r="M146" s="55" t="s">
        <v>1138</v>
      </c>
      <c r="N146" s="9"/>
    </row>
    <row r="147" spans="1:14" x14ac:dyDescent="0.3">
      <c r="A147" s="7" t="str">
        <f t="shared" si="30"/>
        <v xml:space="preserve">306       </v>
      </c>
      <c r="B147" s="7" t="str">
        <f>"38.01     "</f>
        <v xml:space="preserve">38.01     </v>
      </c>
      <c r="C147" s="7" t="s">
        <v>10</v>
      </c>
      <c r="D147" s="7" t="s">
        <v>662</v>
      </c>
      <c r="E147" s="7" t="s">
        <v>205</v>
      </c>
      <c r="F147" s="7" t="s">
        <v>190</v>
      </c>
      <c r="G147" s="7" t="s">
        <v>191</v>
      </c>
      <c r="H147" s="7" t="s">
        <v>192</v>
      </c>
      <c r="I147" s="7" t="str">
        <f>"07076"</f>
        <v>07076</v>
      </c>
      <c r="J147" s="7">
        <v>0</v>
      </c>
      <c r="K147" s="7">
        <v>4.1799999999999997E-2</v>
      </c>
      <c r="L147" s="7"/>
      <c r="M147" s="8" t="s">
        <v>641</v>
      </c>
      <c r="N147" s="9"/>
    </row>
    <row r="148" spans="1:14" x14ac:dyDescent="0.3">
      <c r="A148" s="33" t="str">
        <f t="shared" ref="A148:A152" si="31">"307       "</f>
        <v xml:space="preserve">307       </v>
      </c>
      <c r="B148" s="33" t="str">
        <f>"20        "</f>
        <v xml:space="preserve">20        </v>
      </c>
      <c r="C148" s="33" t="s">
        <v>10</v>
      </c>
      <c r="D148" s="33" t="s">
        <v>662</v>
      </c>
      <c r="E148" s="33" t="s">
        <v>207</v>
      </c>
      <c r="F148" s="33" t="s">
        <v>208</v>
      </c>
      <c r="G148" s="33" t="s">
        <v>207</v>
      </c>
      <c r="H148" s="33" t="s">
        <v>11</v>
      </c>
      <c r="I148" s="33" t="str">
        <f>"07060"</f>
        <v>07060</v>
      </c>
      <c r="J148" s="33">
        <v>1922</v>
      </c>
      <c r="K148" s="33">
        <v>0</v>
      </c>
      <c r="L148" s="46">
        <v>563220</v>
      </c>
      <c r="M148" s="55" t="s">
        <v>1138</v>
      </c>
      <c r="N148" s="9"/>
    </row>
    <row r="149" spans="1:14" x14ac:dyDescent="0.3">
      <c r="A149" s="7" t="str">
        <f t="shared" si="31"/>
        <v xml:space="preserve">307       </v>
      </c>
      <c r="B149" s="7" t="str">
        <f>"21        "</f>
        <v xml:space="preserve">21        </v>
      </c>
      <c r="C149" s="7" t="s">
        <v>10</v>
      </c>
      <c r="D149" s="7" t="s">
        <v>662</v>
      </c>
      <c r="E149" s="7" t="s">
        <v>209</v>
      </c>
      <c r="F149" s="7" t="s">
        <v>208</v>
      </c>
      <c r="G149" s="7" t="s">
        <v>210</v>
      </c>
      <c r="H149" s="7" t="s">
        <v>11</v>
      </c>
      <c r="I149" s="7" t="str">
        <f>"07060"</f>
        <v>07060</v>
      </c>
      <c r="J149" s="7">
        <v>0</v>
      </c>
      <c r="K149" s="7">
        <v>0</v>
      </c>
      <c r="L149" s="8">
        <v>563220</v>
      </c>
      <c r="M149" s="10" t="s">
        <v>642</v>
      </c>
      <c r="N149" s="9"/>
    </row>
    <row r="150" spans="1:14" x14ac:dyDescent="0.3">
      <c r="A150" s="7" t="str">
        <f t="shared" si="31"/>
        <v xml:space="preserve">307       </v>
      </c>
      <c r="B150" s="7" t="str">
        <f>"29.01     "</f>
        <v xml:space="preserve">29.01     </v>
      </c>
      <c r="C150" s="7" t="s">
        <v>10</v>
      </c>
      <c r="D150" s="7" t="s">
        <v>662</v>
      </c>
      <c r="E150" s="7" t="s">
        <v>211</v>
      </c>
      <c r="F150" s="7" t="s">
        <v>212</v>
      </c>
      <c r="G150" s="7" t="s">
        <v>213</v>
      </c>
      <c r="H150" s="7" t="s">
        <v>214</v>
      </c>
      <c r="I150" s="7" t="str">
        <f>"07208"</f>
        <v>07208</v>
      </c>
      <c r="J150" s="7">
        <v>1930</v>
      </c>
      <c r="K150" s="7">
        <v>0.31150000999999999</v>
      </c>
      <c r="L150" s="8">
        <v>166711</v>
      </c>
      <c r="M150" s="10" t="s">
        <v>584</v>
      </c>
      <c r="N150" s="9"/>
    </row>
    <row r="151" spans="1:14" x14ac:dyDescent="0.3">
      <c r="A151" s="7" t="str">
        <f t="shared" si="31"/>
        <v xml:space="preserve">307       </v>
      </c>
      <c r="B151" s="7" t="str">
        <f>"31.01     "</f>
        <v xml:space="preserve">31.01     </v>
      </c>
      <c r="C151" s="7" t="s">
        <v>10</v>
      </c>
      <c r="D151" s="7" t="s">
        <v>662</v>
      </c>
      <c r="E151" s="7" t="s">
        <v>215</v>
      </c>
      <c r="F151" s="7" t="s">
        <v>216</v>
      </c>
      <c r="G151" s="7" t="s">
        <v>213</v>
      </c>
      <c r="H151" s="7" t="s">
        <v>214</v>
      </c>
      <c r="I151" s="7" t="str">
        <f>"07208"</f>
        <v>07208</v>
      </c>
      <c r="J151" s="7">
        <v>1917</v>
      </c>
      <c r="K151" s="7">
        <v>0</v>
      </c>
      <c r="L151" s="8" t="s">
        <v>597</v>
      </c>
      <c r="M151" s="10" t="s">
        <v>584</v>
      </c>
      <c r="N151" s="9" t="s">
        <v>598</v>
      </c>
    </row>
    <row r="152" spans="1:14" x14ac:dyDescent="0.3">
      <c r="A152" s="33" t="str">
        <f t="shared" si="31"/>
        <v xml:space="preserve">307       </v>
      </c>
      <c r="B152" s="33" t="str">
        <f>"38.01     "</f>
        <v xml:space="preserve">38.01     </v>
      </c>
      <c r="C152" s="33" t="s">
        <v>10</v>
      </c>
      <c r="D152" s="33" t="s">
        <v>662</v>
      </c>
      <c r="E152" s="33" t="s">
        <v>217</v>
      </c>
      <c r="F152" s="33" t="s">
        <v>187</v>
      </c>
      <c r="G152" s="33" t="s">
        <v>188</v>
      </c>
      <c r="H152" s="33" t="s">
        <v>189</v>
      </c>
      <c r="I152" s="33" t="str">
        <f>"08806"</f>
        <v>08806</v>
      </c>
      <c r="J152" s="33">
        <v>1935</v>
      </c>
      <c r="K152" s="33">
        <v>1.02160001</v>
      </c>
      <c r="L152" s="33"/>
      <c r="M152" s="8" t="s">
        <v>642</v>
      </c>
      <c r="N152" s="9" t="s">
        <v>656</v>
      </c>
    </row>
    <row r="153" spans="1:14" x14ac:dyDescent="0.3">
      <c r="A153" s="7" t="str">
        <f>"308       "</f>
        <v xml:space="preserve">308       </v>
      </c>
      <c r="B153" s="7" t="str">
        <f>"1         "</f>
        <v xml:space="preserve">1         </v>
      </c>
      <c r="C153" s="7" t="s">
        <v>10</v>
      </c>
      <c r="D153" s="7" t="s">
        <v>662</v>
      </c>
      <c r="E153" s="7" t="s">
        <v>218</v>
      </c>
      <c r="F153" s="7" t="s">
        <v>219</v>
      </c>
      <c r="G153" s="7" t="s">
        <v>220</v>
      </c>
      <c r="H153" s="7" t="s">
        <v>11</v>
      </c>
      <c r="I153" s="7" t="str">
        <f>"07060"</f>
        <v>07060</v>
      </c>
      <c r="J153" s="7">
        <v>1950</v>
      </c>
      <c r="K153" s="7">
        <v>0</v>
      </c>
      <c r="L153" s="7"/>
      <c r="M153" s="8" t="s">
        <v>642</v>
      </c>
      <c r="N153" s="9"/>
    </row>
    <row r="154" spans="1:14" x14ac:dyDescent="0.3">
      <c r="A154" s="7" t="str">
        <f>"308       "</f>
        <v xml:space="preserve">308       </v>
      </c>
      <c r="B154" s="7" t="str">
        <f>"2         "</f>
        <v xml:space="preserve">2         </v>
      </c>
      <c r="C154" s="7" t="s">
        <v>10</v>
      </c>
      <c r="D154" s="7" t="s">
        <v>662</v>
      </c>
      <c r="E154" s="7" t="s">
        <v>221</v>
      </c>
      <c r="F154" s="7" t="s">
        <v>222</v>
      </c>
      <c r="G154" s="7" t="s">
        <v>223</v>
      </c>
      <c r="H154" s="7" t="s">
        <v>224</v>
      </c>
      <c r="I154" s="7" t="str">
        <f>"10312"</f>
        <v>10312</v>
      </c>
      <c r="J154" s="7">
        <v>0</v>
      </c>
      <c r="K154" s="7">
        <v>0</v>
      </c>
      <c r="L154" s="7"/>
      <c r="M154" s="8" t="s">
        <v>642</v>
      </c>
      <c r="N154" s="9"/>
    </row>
    <row r="155" spans="1:14" x14ac:dyDescent="0.3">
      <c r="A155" s="7" t="str">
        <f>"308       "</f>
        <v xml:space="preserve">308       </v>
      </c>
      <c r="B155" s="7" t="str">
        <f>"3         "</f>
        <v xml:space="preserve">3         </v>
      </c>
      <c r="C155" s="7" t="s">
        <v>10</v>
      </c>
      <c r="D155" s="7" t="s">
        <v>662</v>
      </c>
      <c r="E155" s="7" t="s">
        <v>225</v>
      </c>
      <c r="F155" s="7" t="s">
        <v>226</v>
      </c>
      <c r="G155" s="7" t="s">
        <v>225</v>
      </c>
      <c r="H155" s="7" t="s">
        <v>19</v>
      </c>
      <c r="I155" s="7" t="str">
        <f>"07061"</f>
        <v>07061</v>
      </c>
      <c r="J155" s="7">
        <v>1915</v>
      </c>
      <c r="K155" s="7">
        <v>0</v>
      </c>
      <c r="L155" s="7"/>
      <c r="M155" s="8" t="s">
        <v>641</v>
      </c>
      <c r="N155" s="9"/>
    </row>
    <row r="156" spans="1:14" x14ac:dyDescent="0.3">
      <c r="A156" s="7" t="str">
        <f>"309       "</f>
        <v xml:space="preserve">309       </v>
      </c>
      <c r="B156" s="7" t="str">
        <f>"1.01      "</f>
        <v xml:space="preserve">1.01      </v>
      </c>
      <c r="C156" s="7" t="s">
        <v>10</v>
      </c>
      <c r="D156" s="7" t="s">
        <v>662</v>
      </c>
      <c r="E156" s="7" t="s">
        <v>228</v>
      </c>
      <c r="F156" s="7" t="s">
        <v>227</v>
      </c>
      <c r="G156" s="7" t="s">
        <v>185</v>
      </c>
      <c r="H156" s="7" t="s">
        <v>186</v>
      </c>
      <c r="I156" s="7" t="str">
        <f>"07016"</f>
        <v>07016</v>
      </c>
      <c r="J156" s="7">
        <v>1941</v>
      </c>
      <c r="K156" s="7">
        <v>0</v>
      </c>
      <c r="L156" s="7"/>
      <c r="M156" s="8" t="s">
        <v>641</v>
      </c>
      <c r="N156" s="9" t="s">
        <v>1139</v>
      </c>
    </row>
    <row r="157" spans="1:14" x14ac:dyDescent="0.3">
      <c r="A157" s="7" t="str">
        <f t="shared" ref="A157" si="32">"310       "</f>
        <v xml:space="preserve">310       </v>
      </c>
      <c r="B157" s="7" t="str">
        <f>"3.01      "</f>
        <v xml:space="preserve">3.01      </v>
      </c>
      <c r="C157" s="7" t="s">
        <v>10</v>
      </c>
      <c r="D157" s="7" t="s">
        <v>662</v>
      </c>
      <c r="E157" s="7" t="s">
        <v>229</v>
      </c>
      <c r="F157" s="7" t="s">
        <v>230</v>
      </c>
      <c r="G157" s="7" t="s">
        <v>231</v>
      </c>
      <c r="H157" s="7" t="s">
        <v>232</v>
      </c>
      <c r="I157" s="7" t="str">
        <f>"85038"</f>
        <v>85038</v>
      </c>
      <c r="J157" s="7">
        <v>0</v>
      </c>
      <c r="K157" s="7">
        <v>0.92610002000000002</v>
      </c>
      <c r="L157" s="8" t="s">
        <v>628</v>
      </c>
      <c r="M157" s="7" t="s">
        <v>629</v>
      </c>
      <c r="N157" s="9"/>
    </row>
    <row r="158" spans="1:14" x14ac:dyDescent="0.3">
      <c r="A158" s="7" t="str">
        <f t="shared" ref="A158" si="33">"311       "</f>
        <v xml:space="preserve">311       </v>
      </c>
      <c r="B158" s="7" t="str">
        <f>"8         "</f>
        <v xml:space="preserve">8         </v>
      </c>
      <c r="C158" s="7" t="s">
        <v>10</v>
      </c>
      <c r="D158" s="7" t="s">
        <v>662</v>
      </c>
      <c r="E158" s="7" t="s">
        <v>235</v>
      </c>
      <c r="F158" s="7" t="s">
        <v>236</v>
      </c>
      <c r="G158" s="7" t="s">
        <v>234</v>
      </c>
      <c r="H158" s="7" t="s">
        <v>237</v>
      </c>
      <c r="I158" s="7" t="str">
        <f>"07008"</f>
        <v>07008</v>
      </c>
      <c r="J158" s="7">
        <v>1962</v>
      </c>
      <c r="K158" s="7">
        <v>0.37650001</v>
      </c>
      <c r="L158" s="7"/>
      <c r="M158" s="8" t="s">
        <v>641</v>
      </c>
      <c r="N158" s="9"/>
    </row>
    <row r="159" spans="1:14" x14ac:dyDescent="0.3">
      <c r="A159" s="7" t="str">
        <f>"312       "</f>
        <v xml:space="preserve">312       </v>
      </c>
      <c r="B159" s="7" t="str">
        <f>"1         "</f>
        <v xml:space="preserve">1         </v>
      </c>
      <c r="C159" s="7" t="s">
        <v>10</v>
      </c>
      <c r="D159" s="7" t="s">
        <v>662</v>
      </c>
      <c r="E159" s="7" t="s">
        <v>238</v>
      </c>
      <c r="F159" s="7" t="s">
        <v>239</v>
      </c>
      <c r="G159" s="7" t="s">
        <v>240</v>
      </c>
      <c r="H159" s="7" t="s">
        <v>241</v>
      </c>
      <c r="I159" s="7" t="str">
        <f>"07030"</f>
        <v>07030</v>
      </c>
      <c r="J159" s="7">
        <v>0</v>
      </c>
      <c r="K159" s="7">
        <v>0</v>
      </c>
      <c r="L159" s="7"/>
      <c r="M159" s="8" t="s">
        <v>642</v>
      </c>
      <c r="N159" s="9"/>
    </row>
    <row r="160" spans="1:14" x14ac:dyDescent="0.3">
      <c r="A160" s="14" t="str">
        <f t="shared" ref="A160:A161" si="34">"313       "</f>
        <v xml:space="preserve">313       </v>
      </c>
      <c r="B160" s="14" t="str">
        <f>"1         "</f>
        <v xml:space="preserve">1         </v>
      </c>
      <c r="C160" s="7"/>
      <c r="D160" s="7" t="s">
        <v>662</v>
      </c>
      <c r="E160" s="14" t="s">
        <v>668</v>
      </c>
      <c r="F160" s="14" t="s">
        <v>669</v>
      </c>
      <c r="G160" s="14" t="s">
        <v>145</v>
      </c>
      <c r="H160" s="14" t="s">
        <v>256</v>
      </c>
      <c r="I160" s="14" t="str">
        <f>"07305"</f>
        <v>07305</v>
      </c>
      <c r="J160" s="7"/>
      <c r="K160" s="7"/>
      <c r="L160" s="15">
        <v>356041</v>
      </c>
      <c r="M160" s="56" t="s">
        <v>670</v>
      </c>
      <c r="N160" s="16"/>
    </row>
    <row r="161" spans="1:14" x14ac:dyDescent="0.3">
      <c r="A161" s="14" t="str">
        <f t="shared" si="34"/>
        <v xml:space="preserve">313       </v>
      </c>
      <c r="B161" s="14" t="str">
        <f>"2         "</f>
        <v xml:space="preserve">2         </v>
      </c>
      <c r="C161" s="7"/>
      <c r="D161" s="7" t="s">
        <v>662</v>
      </c>
      <c r="E161" s="14" t="s">
        <v>671</v>
      </c>
      <c r="F161" s="14" t="s">
        <v>672</v>
      </c>
      <c r="G161" s="14" t="s">
        <v>145</v>
      </c>
      <c r="H161" s="14" t="s">
        <v>95</v>
      </c>
      <c r="I161" s="14" t="str">
        <f>"07305"</f>
        <v>07305</v>
      </c>
      <c r="J161" s="7"/>
      <c r="K161" s="14" t="s">
        <v>673</v>
      </c>
      <c r="L161" s="15"/>
      <c r="M161" s="15" t="s">
        <v>585</v>
      </c>
      <c r="N161" s="16"/>
    </row>
    <row r="162" spans="1:14" x14ac:dyDescent="0.3">
      <c r="A162" s="20">
        <v>313</v>
      </c>
      <c r="B162" s="20">
        <v>14</v>
      </c>
      <c r="C162" s="21"/>
      <c r="D162" s="21" t="s">
        <v>662</v>
      </c>
      <c r="E162" s="22" t="s">
        <v>674</v>
      </c>
      <c r="F162" s="22" t="s">
        <v>32</v>
      </c>
      <c r="G162" s="22" t="s">
        <v>675</v>
      </c>
      <c r="H162" s="22" t="s">
        <v>676</v>
      </c>
      <c r="I162" s="22">
        <v>7060</v>
      </c>
      <c r="J162" s="25"/>
      <c r="K162" s="22"/>
      <c r="L162" s="23">
        <v>356040</v>
      </c>
      <c r="M162" s="56" t="s">
        <v>1141</v>
      </c>
      <c r="N162" s="16"/>
    </row>
    <row r="163" spans="1:14" x14ac:dyDescent="0.3">
      <c r="A163" s="7" t="str">
        <f t="shared" ref="A163" si="35">"314       "</f>
        <v xml:space="preserve">314       </v>
      </c>
      <c r="B163" s="7" t="str">
        <f>"10        "</f>
        <v xml:space="preserve">10        </v>
      </c>
      <c r="C163" s="7" t="s">
        <v>10</v>
      </c>
      <c r="D163" s="7" t="s">
        <v>662</v>
      </c>
      <c r="E163" s="7" t="s">
        <v>243</v>
      </c>
      <c r="F163" s="7" t="s">
        <v>244</v>
      </c>
      <c r="G163" s="7" t="s">
        <v>245</v>
      </c>
      <c r="H163" s="7" t="s">
        <v>11</v>
      </c>
      <c r="I163" s="7" t="str">
        <f>"07062"</f>
        <v>07062</v>
      </c>
      <c r="J163" s="7">
        <v>1884</v>
      </c>
      <c r="K163" s="7">
        <v>5.8999999999999997E-2</v>
      </c>
      <c r="L163" s="7"/>
      <c r="M163" s="8" t="s">
        <v>642</v>
      </c>
      <c r="N163" s="9"/>
    </row>
    <row r="164" spans="1:14" x14ac:dyDescent="0.3">
      <c r="A164" s="7" t="str">
        <f t="shared" ref="A164:A167" si="36">"315       "</f>
        <v xml:space="preserve">315       </v>
      </c>
      <c r="B164" s="7" t="str">
        <f>"2         "</f>
        <v xml:space="preserve">2         </v>
      </c>
      <c r="C164" s="7" t="s">
        <v>10</v>
      </c>
      <c r="D164" s="7" t="s">
        <v>662</v>
      </c>
      <c r="E164" s="7" t="s">
        <v>246</v>
      </c>
      <c r="F164" s="7" t="s">
        <v>247</v>
      </c>
      <c r="G164" s="7" t="s">
        <v>248</v>
      </c>
      <c r="H164" s="7" t="s">
        <v>11</v>
      </c>
      <c r="I164" s="7" t="str">
        <f>"07060"</f>
        <v>07060</v>
      </c>
      <c r="J164" s="7">
        <v>1895</v>
      </c>
      <c r="K164" s="7">
        <v>0</v>
      </c>
      <c r="L164" s="8">
        <v>45199</v>
      </c>
      <c r="M164" s="8" t="s">
        <v>658</v>
      </c>
      <c r="N164" s="9"/>
    </row>
    <row r="165" spans="1:14" x14ac:dyDescent="0.3">
      <c r="A165" s="7" t="str">
        <f t="shared" si="36"/>
        <v xml:space="preserve">315       </v>
      </c>
      <c r="B165" s="7" t="str">
        <f>"3         "</f>
        <v xml:space="preserve">3         </v>
      </c>
      <c r="C165" s="7" t="s">
        <v>10</v>
      </c>
      <c r="D165" s="7" t="s">
        <v>662</v>
      </c>
      <c r="E165" s="7" t="s">
        <v>249</v>
      </c>
      <c r="F165" s="7" t="s">
        <v>250</v>
      </c>
      <c r="G165" s="7" t="s">
        <v>251</v>
      </c>
      <c r="H165" s="7" t="s">
        <v>252</v>
      </c>
      <c r="I165" s="7" t="str">
        <f>"07061"</f>
        <v>07061</v>
      </c>
      <c r="J165" s="7">
        <v>1928</v>
      </c>
      <c r="K165" s="7">
        <v>0</v>
      </c>
      <c r="L165" s="7"/>
      <c r="M165" s="8" t="s">
        <v>642</v>
      </c>
      <c r="N165" s="9"/>
    </row>
    <row r="166" spans="1:14" x14ac:dyDescent="0.3">
      <c r="A166" s="7" t="str">
        <f t="shared" si="36"/>
        <v xml:space="preserve">315       </v>
      </c>
      <c r="B166" s="7" t="str">
        <f>"4         "</f>
        <v xml:space="preserve">4         </v>
      </c>
      <c r="C166" s="7" t="s">
        <v>10</v>
      </c>
      <c r="D166" s="7" t="s">
        <v>662</v>
      </c>
      <c r="E166" s="7" t="s">
        <v>253</v>
      </c>
      <c r="F166" s="7" t="s">
        <v>254</v>
      </c>
      <c r="G166" s="7" t="s">
        <v>145</v>
      </c>
      <c r="H166" s="7" t="s">
        <v>95</v>
      </c>
      <c r="I166" s="7" t="str">
        <f>"07305"</f>
        <v>07305</v>
      </c>
      <c r="J166" s="7">
        <v>1920</v>
      </c>
      <c r="K166" s="7">
        <v>0.12790000000000001</v>
      </c>
      <c r="L166" s="7"/>
      <c r="M166" s="8" t="s">
        <v>642</v>
      </c>
      <c r="N166" s="9" t="s">
        <v>585</v>
      </c>
    </row>
    <row r="167" spans="1:14" x14ac:dyDescent="0.3">
      <c r="A167" s="7" t="str">
        <f t="shared" si="36"/>
        <v xml:space="preserve">315       </v>
      </c>
      <c r="B167" s="7" t="str">
        <f>"5         "</f>
        <v xml:space="preserve">5         </v>
      </c>
      <c r="C167" s="7" t="s">
        <v>10</v>
      </c>
      <c r="D167" s="7" t="s">
        <v>662</v>
      </c>
      <c r="E167" s="7" t="s">
        <v>255</v>
      </c>
      <c r="F167" s="7" t="s">
        <v>254</v>
      </c>
      <c r="G167" s="7" t="s">
        <v>145</v>
      </c>
      <c r="H167" s="7" t="s">
        <v>256</v>
      </c>
      <c r="I167" s="7" t="str">
        <f>"07305"</f>
        <v>07305</v>
      </c>
      <c r="J167" s="7">
        <v>1935</v>
      </c>
      <c r="K167" s="7">
        <v>0.1149</v>
      </c>
      <c r="L167" s="8">
        <v>563220</v>
      </c>
      <c r="M167" s="55" t="s">
        <v>599</v>
      </c>
      <c r="N167" s="9"/>
    </row>
    <row r="168" spans="1:14" x14ac:dyDescent="0.3">
      <c r="A168" s="7" t="str">
        <f t="shared" ref="A168:A172" si="37">"316       "</f>
        <v xml:space="preserve">316       </v>
      </c>
      <c r="B168" s="7" t="str">
        <f>"2         "</f>
        <v xml:space="preserve">2         </v>
      </c>
      <c r="C168" s="7" t="s">
        <v>10</v>
      </c>
      <c r="D168" s="7" t="s">
        <v>662</v>
      </c>
      <c r="E168" s="7" t="s">
        <v>257</v>
      </c>
      <c r="F168" s="7" t="s">
        <v>258</v>
      </c>
      <c r="G168" s="7" t="s">
        <v>259</v>
      </c>
      <c r="H168" s="7" t="s">
        <v>214</v>
      </c>
      <c r="I168" s="7" t="str">
        <f>"07208"</f>
        <v>07208</v>
      </c>
      <c r="J168" s="7">
        <v>1870</v>
      </c>
      <c r="K168" s="7">
        <v>9.2899999999999996E-2</v>
      </c>
      <c r="L168" s="7"/>
      <c r="M168" s="8" t="s">
        <v>641</v>
      </c>
      <c r="N168" s="9"/>
    </row>
    <row r="169" spans="1:14" x14ac:dyDescent="0.3">
      <c r="A169" s="7" t="str">
        <f t="shared" si="37"/>
        <v xml:space="preserve">316       </v>
      </c>
      <c r="B169" s="7" t="str">
        <f>"16        "</f>
        <v xml:space="preserve">16        </v>
      </c>
      <c r="C169" s="7" t="s">
        <v>10</v>
      </c>
      <c r="D169" s="7" t="s">
        <v>662</v>
      </c>
      <c r="E169" s="7" t="s">
        <v>262</v>
      </c>
      <c r="F169" s="7" t="s">
        <v>263</v>
      </c>
      <c r="G169" s="7" t="s">
        <v>233</v>
      </c>
      <c r="H169" s="7" t="s">
        <v>110</v>
      </c>
      <c r="I169" s="7" t="str">
        <f t="shared" ref="I169" si="38">"07208"</f>
        <v>07208</v>
      </c>
      <c r="J169" s="7">
        <v>1925</v>
      </c>
      <c r="K169" s="7">
        <v>0.13539999999999999</v>
      </c>
      <c r="L169" s="7"/>
      <c r="M169" s="8" t="s">
        <v>642</v>
      </c>
      <c r="N169" s="9"/>
    </row>
    <row r="170" spans="1:14" x14ac:dyDescent="0.3">
      <c r="A170" s="7" t="str">
        <f t="shared" si="37"/>
        <v xml:space="preserve">316       </v>
      </c>
      <c r="B170" s="7" t="str">
        <f>"22        "</f>
        <v xml:space="preserve">22        </v>
      </c>
      <c r="C170" s="7" t="s">
        <v>10</v>
      </c>
      <c r="D170" s="7" t="s">
        <v>662</v>
      </c>
      <c r="E170" s="7" t="s">
        <v>265</v>
      </c>
      <c r="F170" s="7" t="s">
        <v>32</v>
      </c>
      <c r="G170" s="7" t="s">
        <v>33</v>
      </c>
      <c r="H170" s="7" t="s">
        <v>266</v>
      </c>
      <c r="I170" s="7" t="str">
        <f>"07061"</f>
        <v>07061</v>
      </c>
      <c r="J170" s="7">
        <v>0</v>
      </c>
      <c r="K170" s="7">
        <v>0</v>
      </c>
      <c r="L170" s="8">
        <v>371190</v>
      </c>
      <c r="M170" s="55" t="s">
        <v>636</v>
      </c>
      <c r="N170" s="9"/>
    </row>
    <row r="171" spans="1:14" x14ac:dyDescent="0.3">
      <c r="A171" s="7" t="str">
        <f t="shared" si="37"/>
        <v xml:space="preserve">316       </v>
      </c>
      <c r="B171" s="7" t="str">
        <f>"23        "</f>
        <v xml:space="preserve">23        </v>
      </c>
      <c r="C171" s="7" t="s">
        <v>10</v>
      </c>
      <c r="D171" s="7" t="s">
        <v>662</v>
      </c>
      <c r="E171" s="7" t="s">
        <v>267</v>
      </c>
      <c r="F171" s="7" t="s">
        <v>268</v>
      </c>
      <c r="G171" s="7" t="s">
        <v>233</v>
      </c>
      <c r="H171" s="7" t="s">
        <v>110</v>
      </c>
      <c r="I171" s="7" t="str">
        <f>"07208"</f>
        <v>07208</v>
      </c>
      <c r="J171" s="7">
        <v>0</v>
      </c>
      <c r="K171" s="7">
        <v>3.4000000000000002E-2</v>
      </c>
      <c r="L171" s="8">
        <v>371190</v>
      </c>
      <c r="M171" s="55" t="s">
        <v>636</v>
      </c>
      <c r="N171" s="9"/>
    </row>
    <row r="172" spans="1:14" x14ac:dyDescent="0.3">
      <c r="A172" s="7" t="str">
        <f t="shared" si="37"/>
        <v xml:space="preserve">316       </v>
      </c>
      <c r="B172" s="7" t="str">
        <f>"24        "</f>
        <v xml:space="preserve">24        </v>
      </c>
      <c r="C172" s="7" t="s">
        <v>10</v>
      </c>
      <c r="D172" s="7" t="s">
        <v>662</v>
      </c>
      <c r="E172" s="7" t="s">
        <v>269</v>
      </c>
      <c r="F172" s="7" t="s">
        <v>32</v>
      </c>
      <c r="G172" s="7" t="s">
        <v>33</v>
      </c>
      <c r="H172" s="7" t="s">
        <v>19</v>
      </c>
      <c r="I172" s="7" t="str">
        <f>"07061"</f>
        <v>07061</v>
      </c>
      <c r="J172" s="7">
        <v>0</v>
      </c>
      <c r="K172" s="7">
        <v>0</v>
      </c>
      <c r="L172" s="8">
        <v>371190</v>
      </c>
      <c r="M172" s="55" t="s">
        <v>636</v>
      </c>
      <c r="N172" s="9"/>
    </row>
    <row r="173" spans="1:14" x14ac:dyDescent="0.3">
      <c r="A173" s="7" t="str">
        <f t="shared" ref="A173:A175" si="39">"317       "</f>
        <v xml:space="preserve">317       </v>
      </c>
      <c r="B173" s="7" t="str">
        <f>"1         "</f>
        <v xml:space="preserve">1         </v>
      </c>
      <c r="C173" s="7" t="s">
        <v>10</v>
      </c>
      <c r="D173" s="7" t="s">
        <v>662</v>
      </c>
      <c r="E173" s="7" t="s">
        <v>528</v>
      </c>
      <c r="F173" s="7" t="s">
        <v>529</v>
      </c>
      <c r="G173" s="7" t="s">
        <v>251</v>
      </c>
      <c r="H173" s="7" t="s">
        <v>19</v>
      </c>
      <c r="I173" s="7" t="str">
        <f>"07061"</f>
        <v>07061</v>
      </c>
      <c r="J173" s="7">
        <v>1925</v>
      </c>
      <c r="K173" s="7">
        <v>0</v>
      </c>
      <c r="L173" s="8">
        <v>376983</v>
      </c>
      <c r="M173" s="53" t="s">
        <v>592</v>
      </c>
      <c r="N173" s="9" t="s">
        <v>595</v>
      </c>
    </row>
    <row r="174" spans="1:14" x14ac:dyDescent="0.3">
      <c r="A174" s="45" t="str">
        <f t="shared" si="39"/>
        <v xml:space="preserve">317       </v>
      </c>
      <c r="B174" s="45" t="str">
        <f>"19        "</f>
        <v xml:space="preserve">19        </v>
      </c>
      <c r="C174" s="45" t="s">
        <v>10</v>
      </c>
      <c r="D174" s="45" t="s">
        <v>662</v>
      </c>
      <c r="E174" s="45" t="s">
        <v>530</v>
      </c>
      <c r="F174" s="45" t="s">
        <v>1107</v>
      </c>
      <c r="G174" s="45" t="s">
        <v>33</v>
      </c>
      <c r="H174" s="45" t="s">
        <v>19</v>
      </c>
      <c r="I174" s="45" t="str">
        <f>"07061"</f>
        <v>07061</v>
      </c>
      <c r="J174" s="45">
        <v>0</v>
      </c>
      <c r="K174" s="45">
        <v>0</v>
      </c>
      <c r="L174" s="45"/>
      <c r="M174" s="47" t="s">
        <v>1125</v>
      </c>
      <c r="N174" s="48" t="s">
        <v>1104</v>
      </c>
    </row>
    <row r="175" spans="1:14" x14ac:dyDescent="0.3">
      <c r="A175" s="7" t="str">
        <f t="shared" si="39"/>
        <v xml:space="preserve">317       </v>
      </c>
      <c r="B175" s="7" t="str">
        <f>"20        "</f>
        <v xml:space="preserve">20        </v>
      </c>
      <c r="C175" s="7" t="s">
        <v>10</v>
      </c>
      <c r="D175" s="7" t="s">
        <v>662</v>
      </c>
      <c r="E175" s="7" t="s">
        <v>531</v>
      </c>
      <c r="F175" s="7" t="s">
        <v>532</v>
      </c>
      <c r="G175" s="7" t="s">
        <v>533</v>
      </c>
      <c r="H175" s="7" t="s">
        <v>19</v>
      </c>
      <c r="I175" s="7" t="str">
        <f>"07060"</f>
        <v>07060</v>
      </c>
      <c r="J175" s="7">
        <v>1925</v>
      </c>
      <c r="K175" s="7">
        <v>0</v>
      </c>
      <c r="L175" s="7"/>
      <c r="M175" s="8" t="s">
        <v>642</v>
      </c>
      <c r="N175" s="9"/>
    </row>
    <row r="176" spans="1:14" x14ac:dyDescent="0.3">
      <c r="A176" s="42">
        <v>318</v>
      </c>
      <c r="B176" s="42">
        <v>14</v>
      </c>
      <c r="C176" s="45"/>
      <c r="D176" s="45" t="s">
        <v>662</v>
      </c>
      <c r="E176" s="45" t="s">
        <v>1105</v>
      </c>
      <c r="F176" s="45" t="s">
        <v>1106</v>
      </c>
      <c r="G176" s="45" t="s">
        <v>1105</v>
      </c>
      <c r="H176" s="45" t="s">
        <v>676</v>
      </c>
      <c r="I176" s="45">
        <v>7060</v>
      </c>
      <c r="J176" s="45"/>
      <c r="K176" s="45"/>
      <c r="L176" s="45"/>
      <c r="M176" s="47" t="s">
        <v>1126</v>
      </c>
      <c r="N176" s="48" t="s">
        <v>1104</v>
      </c>
    </row>
    <row r="177" spans="1:14" x14ac:dyDescent="0.3">
      <c r="A177" s="7" t="str">
        <f t="shared" ref="A177" si="40">"320       "</f>
        <v xml:space="preserve">320       </v>
      </c>
      <c r="B177" s="7" t="str">
        <f>"20        "</f>
        <v xml:space="preserve">20        </v>
      </c>
      <c r="C177" s="7" t="s">
        <v>10</v>
      </c>
      <c r="D177" s="7" t="s">
        <v>662</v>
      </c>
      <c r="E177" s="7" t="s">
        <v>534</v>
      </c>
      <c r="F177" s="7" t="s">
        <v>535</v>
      </c>
      <c r="G177" s="7" t="s">
        <v>536</v>
      </c>
      <c r="H177" s="7" t="s">
        <v>11</v>
      </c>
      <c r="I177" s="7" t="str">
        <f>"07060"</f>
        <v>07060</v>
      </c>
      <c r="J177" s="7">
        <v>0</v>
      </c>
      <c r="K177" s="7">
        <v>0.12470000000000001</v>
      </c>
      <c r="L177" s="8">
        <v>380911</v>
      </c>
      <c r="M177" s="53" t="s">
        <v>594</v>
      </c>
      <c r="N177" s="9"/>
    </row>
    <row r="178" spans="1:14" x14ac:dyDescent="0.3">
      <c r="A178" s="7" t="str">
        <f t="shared" ref="A178" si="41">"324       "</f>
        <v xml:space="preserve">324       </v>
      </c>
      <c r="B178" s="11">
        <v>10.01</v>
      </c>
      <c r="C178" s="7" t="s">
        <v>270</v>
      </c>
      <c r="D178" s="7" t="s">
        <v>662</v>
      </c>
      <c r="E178" s="7" t="s">
        <v>1098</v>
      </c>
      <c r="F178" s="7" t="s">
        <v>1097</v>
      </c>
      <c r="G178" s="7" t="s">
        <v>271</v>
      </c>
      <c r="H178" s="7" t="s">
        <v>11</v>
      </c>
      <c r="I178" s="7" t="str">
        <f>"07060"</f>
        <v>07060</v>
      </c>
      <c r="J178" s="7">
        <v>0</v>
      </c>
      <c r="K178" s="7">
        <v>0</v>
      </c>
      <c r="L178" s="10" t="s">
        <v>612</v>
      </c>
      <c r="M178" s="55" t="s">
        <v>1096</v>
      </c>
      <c r="N178" s="9" t="s">
        <v>634</v>
      </c>
    </row>
    <row r="179" spans="1:14" x14ac:dyDescent="0.3">
      <c r="A179" s="21">
        <v>327</v>
      </c>
      <c r="B179" s="21">
        <v>4.01</v>
      </c>
      <c r="C179" s="25" t="s">
        <v>826</v>
      </c>
      <c r="D179" s="25"/>
      <c r="E179" s="25" t="s">
        <v>850</v>
      </c>
      <c r="F179" s="25" t="s">
        <v>851</v>
      </c>
      <c r="G179" s="25" t="s">
        <v>850</v>
      </c>
      <c r="H179" s="25" t="s">
        <v>831</v>
      </c>
      <c r="I179" s="25">
        <v>7060</v>
      </c>
      <c r="J179" s="25"/>
      <c r="K179" s="25"/>
      <c r="L179" s="28">
        <v>51817</v>
      </c>
      <c r="M179" s="53" t="s">
        <v>594</v>
      </c>
      <c r="N179" s="9"/>
    </row>
    <row r="180" spans="1:14" x14ac:dyDescent="0.3">
      <c r="A180" s="21">
        <v>328</v>
      </c>
      <c r="B180" s="21">
        <v>27</v>
      </c>
      <c r="C180" s="25" t="s">
        <v>826</v>
      </c>
      <c r="D180" s="25"/>
      <c r="E180" s="25" t="s">
        <v>845</v>
      </c>
      <c r="F180" s="25" t="s">
        <v>849</v>
      </c>
      <c r="G180" s="25" t="s">
        <v>845</v>
      </c>
      <c r="H180" s="25" t="s">
        <v>831</v>
      </c>
      <c r="I180" s="25" t="s">
        <v>832</v>
      </c>
      <c r="J180" s="25"/>
      <c r="K180" s="25"/>
      <c r="L180" s="28">
        <v>3523</v>
      </c>
      <c r="M180" s="56" t="s">
        <v>680</v>
      </c>
      <c r="N180" s="9"/>
    </row>
    <row r="181" spans="1:14" x14ac:dyDescent="0.3">
      <c r="A181" s="32">
        <v>333</v>
      </c>
      <c r="B181" s="32">
        <v>15</v>
      </c>
      <c r="C181" s="33" t="s">
        <v>662</v>
      </c>
      <c r="D181" s="33" t="s">
        <v>662</v>
      </c>
      <c r="E181" s="33" t="s">
        <v>901</v>
      </c>
      <c r="F181" s="33" t="s">
        <v>1043</v>
      </c>
      <c r="G181" s="33" t="s">
        <v>1044</v>
      </c>
      <c r="H181" s="33" t="s">
        <v>831</v>
      </c>
      <c r="I181" s="33" t="s">
        <v>832</v>
      </c>
      <c r="J181" s="33"/>
      <c r="K181" s="33"/>
      <c r="L181" s="34"/>
      <c r="M181" s="35" t="s">
        <v>641</v>
      </c>
      <c r="N181" s="9"/>
    </row>
    <row r="182" spans="1:14" x14ac:dyDescent="0.3">
      <c r="A182" s="13">
        <v>343</v>
      </c>
      <c r="B182" s="13">
        <v>2</v>
      </c>
      <c r="C182" s="14"/>
      <c r="D182" s="7" t="s">
        <v>662</v>
      </c>
      <c r="E182" s="14" t="s">
        <v>681</v>
      </c>
      <c r="F182" s="14" t="s">
        <v>677</v>
      </c>
      <c r="G182" s="14" t="s">
        <v>678</v>
      </c>
      <c r="H182" s="14" t="s">
        <v>11</v>
      </c>
      <c r="I182" s="14" t="str">
        <f>"07060"</f>
        <v>07060</v>
      </c>
      <c r="J182" s="14">
        <v>1920</v>
      </c>
      <c r="K182" s="14" t="s">
        <v>679</v>
      </c>
      <c r="L182" s="15">
        <v>44115</v>
      </c>
      <c r="M182" s="56" t="s">
        <v>680</v>
      </c>
      <c r="N182" s="9"/>
    </row>
    <row r="183" spans="1:14" x14ac:dyDescent="0.3">
      <c r="A183" s="13">
        <v>343</v>
      </c>
      <c r="B183" s="13">
        <v>6</v>
      </c>
      <c r="C183" s="14"/>
      <c r="D183" s="7" t="s">
        <v>662</v>
      </c>
      <c r="E183" s="14" t="s">
        <v>683</v>
      </c>
      <c r="F183" s="14" t="s">
        <v>684</v>
      </c>
      <c r="G183" s="14" t="s">
        <v>685</v>
      </c>
      <c r="H183" s="14" t="s">
        <v>686</v>
      </c>
      <c r="I183" s="14" t="str">
        <f>"07091"</f>
        <v>07091</v>
      </c>
      <c r="J183" s="14">
        <v>1935</v>
      </c>
      <c r="K183" s="14"/>
      <c r="L183" s="15"/>
      <c r="M183" s="15" t="s">
        <v>642</v>
      </c>
      <c r="N183" s="9"/>
    </row>
    <row r="184" spans="1:14" x14ac:dyDescent="0.3">
      <c r="A184" s="13">
        <v>343</v>
      </c>
      <c r="B184" s="13">
        <v>10</v>
      </c>
      <c r="C184" s="14" t="s">
        <v>682</v>
      </c>
      <c r="D184" s="7" t="s">
        <v>662</v>
      </c>
      <c r="E184" s="14" t="s">
        <v>687</v>
      </c>
      <c r="F184" s="14" t="s">
        <v>1121</v>
      </c>
      <c r="G184" s="14" t="s">
        <v>689</v>
      </c>
      <c r="H184" s="14" t="s">
        <v>688</v>
      </c>
      <c r="I184" s="14" t="str">
        <f>"08822"</f>
        <v>08822</v>
      </c>
      <c r="J184" s="14">
        <v>1959</v>
      </c>
      <c r="K184" s="14">
        <v>0.2238</v>
      </c>
      <c r="L184" s="51" t="s">
        <v>1122</v>
      </c>
      <c r="M184" s="15" t="s">
        <v>1120</v>
      </c>
      <c r="N184" s="9" t="s">
        <v>1123</v>
      </c>
    </row>
    <row r="185" spans="1:14" x14ac:dyDescent="0.3">
      <c r="A185" s="7" t="str">
        <f t="shared" ref="A185:A189" si="42">"344       "</f>
        <v xml:space="preserve">344       </v>
      </c>
      <c r="B185" s="7" t="str">
        <f>"2         "</f>
        <v xml:space="preserve">2         </v>
      </c>
      <c r="C185" s="7" t="s">
        <v>10</v>
      </c>
      <c r="D185" s="7" t="s">
        <v>662</v>
      </c>
      <c r="E185" s="7" t="s">
        <v>273</v>
      </c>
      <c r="F185" s="7" t="s">
        <v>274</v>
      </c>
      <c r="G185" s="7" t="s">
        <v>275</v>
      </c>
      <c r="H185" s="7" t="s">
        <v>34</v>
      </c>
      <c r="I185" s="7" t="str">
        <f>"07069"</f>
        <v>07069</v>
      </c>
      <c r="J185" s="7">
        <v>1910</v>
      </c>
      <c r="K185" s="7">
        <v>0</v>
      </c>
      <c r="L185" s="8">
        <v>66810</v>
      </c>
      <c r="M185" s="8" t="s">
        <v>587</v>
      </c>
      <c r="N185" s="9" t="s">
        <v>620</v>
      </c>
    </row>
    <row r="186" spans="1:14" x14ac:dyDescent="0.3">
      <c r="A186" s="7" t="str">
        <f t="shared" si="42"/>
        <v xml:space="preserve">344       </v>
      </c>
      <c r="B186" s="7" t="str">
        <f>"3         "</f>
        <v xml:space="preserve">3         </v>
      </c>
      <c r="C186" s="7" t="s">
        <v>10</v>
      </c>
      <c r="D186" s="7" t="s">
        <v>662</v>
      </c>
      <c r="E186" s="7" t="s">
        <v>276</v>
      </c>
      <c r="F186" s="7" t="s">
        <v>277</v>
      </c>
      <c r="G186" s="7" t="s">
        <v>278</v>
      </c>
      <c r="H186" s="7" t="s">
        <v>27</v>
      </c>
      <c r="I186" s="7" t="str">
        <f>"08701"</f>
        <v>08701</v>
      </c>
      <c r="J186" s="7">
        <v>1935</v>
      </c>
      <c r="K186" s="7">
        <v>0</v>
      </c>
      <c r="L186" s="8" t="s">
        <v>1088</v>
      </c>
      <c r="M186" s="56" t="s">
        <v>1086</v>
      </c>
      <c r="N186" s="9" t="s">
        <v>1087</v>
      </c>
    </row>
    <row r="187" spans="1:14" x14ac:dyDescent="0.3">
      <c r="A187" s="7" t="str">
        <f t="shared" si="42"/>
        <v xml:space="preserve">344       </v>
      </c>
      <c r="B187" s="7" t="str">
        <f>"4         "</f>
        <v xml:space="preserve">4         </v>
      </c>
      <c r="C187" s="7" t="s">
        <v>10</v>
      </c>
      <c r="D187" s="7" t="s">
        <v>662</v>
      </c>
      <c r="E187" s="7" t="s">
        <v>279</v>
      </c>
      <c r="F187" s="7" t="s">
        <v>280</v>
      </c>
      <c r="G187" s="7" t="s">
        <v>281</v>
      </c>
      <c r="H187" s="7" t="s">
        <v>82</v>
      </c>
      <c r="I187" s="7" t="str">
        <f>"07060"</f>
        <v>07060</v>
      </c>
      <c r="J187" s="7">
        <v>0</v>
      </c>
      <c r="K187" s="7">
        <v>0</v>
      </c>
      <c r="L187" s="7"/>
      <c r="M187" s="8" t="s">
        <v>641</v>
      </c>
      <c r="N187" s="9"/>
    </row>
    <row r="188" spans="1:14" x14ac:dyDescent="0.3">
      <c r="A188" s="7" t="str">
        <f t="shared" si="42"/>
        <v xml:space="preserve">344       </v>
      </c>
      <c r="B188" s="7" t="str">
        <f>"5         "</f>
        <v xml:space="preserve">5         </v>
      </c>
      <c r="C188" s="7" t="s">
        <v>10</v>
      </c>
      <c r="D188" s="7" t="s">
        <v>662</v>
      </c>
      <c r="E188" s="7" t="s">
        <v>282</v>
      </c>
      <c r="F188" s="7" t="s">
        <v>283</v>
      </c>
      <c r="G188" s="7" t="s">
        <v>284</v>
      </c>
      <c r="H188" s="7" t="s">
        <v>285</v>
      </c>
      <c r="I188" s="7" t="str">
        <f>"07040"</f>
        <v>07040</v>
      </c>
      <c r="J188" s="7">
        <v>1945</v>
      </c>
      <c r="K188" s="7">
        <v>0</v>
      </c>
      <c r="L188" s="7"/>
      <c r="M188" s="8" t="s">
        <v>641</v>
      </c>
      <c r="N188" s="9"/>
    </row>
    <row r="189" spans="1:14" x14ac:dyDescent="0.3">
      <c r="A189" s="7" t="str">
        <f t="shared" si="42"/>
        <v xml:space="preserve">344       </v>
      </c>
      <c r="B189" s="7" t="str">
        <f>"7         "</f>
        <v xml:space="preserve">7         </v>
      </c>
      <c r="C189" s="7" t="s">
        <v>10</v>
      </c>
      <c r="D189" s="7" t="s">
        <v>662</v>
      </c>
      <c r="E189" s="7" t="s">
        <v>287</v>
      </c>
      <c r="F189" s="7" t="s">
        <v>288</v>
      </c>
      <c r="G189" s="7" t="s">
        <v>289</v>
      </c>
      <c r="H189" s="7" t="s">
        <v>39</v>
      </c>
      <c r="I189" s="7" t="str">
        <f>"07076"</f>
        <v>07076</v>
      </c>
      <c r="J189" s="7">
        <v>1925</v>
      </c>
      <c r="K189" s="7">
        <v>0</v>
      </c>
      <c r="L189" s="8">
        <v>54977</v>
      </c>
      <c r="M189" s="8" t="s">
        <v>587</v>
      </c>
      <c r="N189" s="9" t="s">
        <v>596</v>
      </c>
    </row>
    <row r="190" spans="1:14" x14ac:dyDescent="0.3">
      <c r="A190" s="7" t="str">
        <f t="shared" ref="A190:A195" si="43">"402       "</f>
        <v xml:space="preserve">402       </v>
      </c>
      <c r="B190" s="7" t="str">
        <f>"1         "</f>
        <v xml:space="preserve">1         </v>
      </c>
      <c r="C190" s="7" t="s">
        <v>10</v>
      </c>
      <c r="D190" s="7" t="s">
        <v>662</v>
      </c>
      <c r="E190" s="7" t="s">
        <v>290</v>
      </c>
      <c r="F190" s="7" t="s">
        <v>291</v>
      </c>
      <c r="G190" s="7" t="s">
        <v>292</v>
      </c>
      <c r="H190" s="7" t="s">
        <v>192</v>
      </c>
      <c r="I190" s="7" t="str">
        <f>"07076"</f>
        <v>07076</v>
      </c>
      <c r="J190" s="7">
        <v>1964</v>
      </c>
      <c r="K190" s="7">
        <v>0</v>
      </c>
      <c r="L190" s="7"/>
      <c r="M190" s="8" t="s">
        <v>641</v>
      </c>
      <c r="N190" s="9"/>
    </row>
    <row r="191" spans="1:14" x14ac:dyDescent="0.3">
      <c r="A191" s="7" t="str">
        <f t="shared" si="43"/>
        <v xml:space="preserve">402       </v>
      </c>
      <c r="B191" s="7" t="str">
        <f>"2         "</f>
        <v xml:space="preserve">2         </v>
      </c>
      <c r="C191" s="7" t="s">
        <v>10</v>
      </c>
      <c r="D191" s="7" t="s">
        <v>662</v>
      </c>
      <c r="E191" s="7" t="s">
        <v>293</v>
      </c>
      <c r="F191" s="7" t="s">
        <v>294</v>
      </c>
      <c r="G191" s="7" t="s">
        <v>295</v>
      </c>
      <c r="H191" s="7" t="s">
        <v>19</v>
      </c>
      <c r="I191" s="7" t="str">
        <f>"07060"</f>
        <v>07060</v>
      </c>
      <c r="J191" s="7">
        <v>1964</v>
      </c>
      <c r="K191" s="7">
        <v>0.2296</v>
      </c>
      <c r="L191" s="7"/>
      <c r="M191" s="8" t="s">
        <v>641</v>
      </c>
      <c r="N191" s="9"/>
    </row>
    <row r="192" spans="1:14" x14ac:dyDescent="0.3">
      <c r="A192" s="7" t="str">
        <f t="shared" si="43"/>
        <v xml:space="preserve">402       </v>
      </c>
      <c r="B192" s="7" t="str">
        <f>"3         "</f>
        <v xml:space="preserve">3         </v>
      </c>
      <c r="C192" s="7" t="s">
        <v>10</v>
      </c>
      <c r="D192" s="7" t="s">
        <v>662</v>
      </c>
      <c r="E192" s="7" t="s">
        <v>296</v>
      </c>
      <c r="F192" s="7" t="s">
        <v>297</v>
      </c>
      <c r="G192" s="7" t="s">
        <v>296</v>
      </c>
      <c r="H192" s="7" t="s">
        <v>19</v>
      </c>
      <c r="I192" s="7" t="str">
        <f>"07060"</f>
        <v>07060</v>
      </c>
      <c r="J192" s="7">
        <v>1961</v>
      </c>
      <c r="K192" s="7">
        <v>0.27550000000000002</v>
      </c>
      <c r="L192" s="8" t="s">
        <v>626</v>
      </c>
      <c r="M192" s="53" t="s">
        <v>627</v>
      </c>
      <c r="N192" s="9"/>
    </row>
    <row r="193" spans="1:14" x14ac:dyDescent="0.3">
      <c r="A193" s="7" t="str">
        <f t="shared" si="43"/>
        <v xml:space="preserve">402       </v>
      </c>
      <c r="B193" s="7" t="str">
        <f>"4         "</f>
        <v xml:space="preserve">4         </v>
      </c>
      <c r="C193" s="7" t="s">
        <v>10</v>
      </c>
      <c r="D193" s="7" t="s">
        <v>662</v>
      </c>
      <c r="E193" s="7" t="s">
        <v>298</v>
      </c>
      <c r="F193" s="7" t="s">
        <v>239</v>
      </c>
      <c r="G193" s="7" t="s">
        <v>299</v>
      </c>
      <c r="H193" s="7" t="s">
        <v>300</v>
      </c>
      <c r="I193" s="7" t="str">
        <f>"10098"</f>
        <v>10098</v>
      </c>
      <c r="J193" s="7">
        <v>0</v>
      </c>
      <c r="K193" s="7">
        <v>0.41319999000000002</v>
      </c>
      <c r="L193" s="7"/>
      <c r="M193" s="8" t="s">
        <v>641</v>
      </c>
      <c r="N193" s="9"/>
    </row>
    <row r="194" spans="1:14" x14ac:dyDescent="0.3">
      <c r="A194" s="7" t="str">
        <f t="shared" si="43"/>
        <v xml:space="preserve">402       </v>
      </c>
      <c r="B194" s="11">
        <v>5</v>
      </c>
      <c r="C194" s="7" t="s">
        <v>10</v>
      </c>
      <c r="D194" s="7" t="s">
        <v>662</v>
      </c>
      <c r="E194" s="7" t="s">
        <v>301</v>
      </c>
      <c r="F194" s="7" t="s">
        <v>302</v>
      </c>
      <c r="G194" s="7" t="s">
        <v>303</v>
      </c>
      <c r="H194" s="7" t="s">
        <v>304</v>
      </c>
      <c r="I194" s="7" t="str">
        <f>"91605"</f>
        <v>91605</v>
      </c>
      <c r="J194" s="7">
        <v>1761</v>
      </c>
      <c r="K194" s="7">
        <v>0.71740000999999998</v>
      </c>
      <c r="L194" s="7"/>
      <c r="M194" s="8" t="s">
        <v>641</v>
      </c>
      <c r="N194" s="9"/>
    </row>
    <row r="195" spans="1:14" x14ac:dyDescent="0.3">
      <c r="A195" s="7" t="str">
        <f t="shared" si="43"/>
        <v xml:space="preserve">402       </v>
      </c>
      <c r="B195" s="7" t="str">
        <f>"7         "</f>
        <v xml:space="preserve">7         </v>
      </c>
      <c r="C195" s="7" t="s">
        <v>10</v>
      </c>
      <c r="D195" s="7" t="s">
        <v>662</v>
      </c>
      <c r="E195" s="7" t="s">
        <v>305</v>
      </c>
      <c r="F195" s="7" t="s">
        <v>306</v>
      </c>
      <c r="G195" s="7" t="s">
        <v>307</v>
      </c>
      <c r="H195" s="7" t="s">
        <v>308</v>
      </c>
      <c r="I195" s="7" t="str">
        <f>"17077"</f>
        <v>17077</v>
      </c>
      <c r="J195" s="7">
        <v>0</v>
      </c>
      <c r="K195" s="7">
        <v>1.3900999999999999</v>
      </c>
      <c r="L195" s="7"/>
      <c r="M195" s="8" t="s">
        <v>641</v>
      </c>
      <c r="N195" s="9"/>
    </row>
    <row r="196" spans="1:14" x14ac:dyDescent="0.3">
      <c r="A196" s="21">
        <v>404</v>
      </c>
      <c r="B196" s="21">
        <v>11</v>
      </c>
      <c r="C196" s="25"/>
      <c r="D196" s="25" t="s">
        <v>826</v>
      </c>
      <c r="E196" s="25" t="s">
        <v>902</v>
      </c>
      <c r="F196" s="25" t="s">
        <v>1007</v>
      </c>
      <c r="G196" s="25" t="s">
        <v>1008</v>
      </c>
      <c r="H196" s="7" t="s">
        <v>19</v>
      </c>
      <c r="I196" s="25"/>
      <c r="J196" s="25"/>
      <c r="K196" s="25"/>
      <c r="L196" s="25"/>
      <c r="M196" s="15" t="s">
        <v>641</v>
      </c>
      <c r="N196" s="9"/>
    </row>
    <row r="197" spans="1:14" x14ac:dyDescent="0.3">
      <c r="A197" s="11">
        <v>404</v>
      </c>
      <c r="B197" s="11">
        <v>12.02</v>
      </c>
      <c r="C197" s="11"/>
      <c r="D197" s="7" t="s">
        <v>662</v>
      </c>
      <c r="E197" s="14" t="s">
        <v>690</v>
      </c>
      <c r="F197" s="14" t="s">
        <v>694</v>
      </c>
      <c r="G197" s="14" t="s">
        <v>698</v>
      </c>
      <c r="H197" s="14" t="s">
        <v>11</v>
      </c>
      <c r="I197" s="14" t="str">
        <f>"07062"</f>
        <v>07062</v>
      </c>
      <c r="J197" s="14">
        <v>2003</v>
      </c>
      <c r="K197" s="14">
        <v>0</v>
      </c>
      <c r="L197" s="7"/>
      <c r="M197" s="15" t="s">
        <v>641</v>
      </c>
      <c r="N197" s="17" t="s">
        <v>703</v>
      </c>
    </row>
    <row r="198" spans="1:14" x14ac:dyDescent="0.3">
      <c r="A198" s="11">
        <v>404</v>
      </c>
      <c r="B198" s="11">
        <v>12.08</v>
      </c>
      <c r="C198" s="11"/>
      <c r="D198" s="11" t="s">
        <v>662</v>
      </c>
      <c r="E198" s="14" t="s">
        <v>691</v>
      </c>
      <c r="F198" s="14" t="s">
        <v>695</v>
      </c>
      <c r="G198" s="14" t="s">
        <v>699</v>
      </c>
      <c r="H198" s="14" t="s">
        <v>39</v>
      </c>
      <c r="I198" s="14" t="str">
        <f>"07076"</f>
        <v>07076</v>
      </c>
      <c r="J198" s="14">
        <v>1921</v>
      </c>
      <c r="K198" s="14">
        <v>0</v>
      </c>
      <c r="L198" s="7"/>
      <c r="M198" s="15" t="s">
        <v>641</v>
      </c>
      <c r="N198" s="17" t="s">
        <v>703</v>
      </c>
    </row>
    <row r="199" spans="1:14" x14ac:dyDescent="0.3">
      <c r="A199" s="11">
        <v>404</v>
      </c>
      <c r="B199" s="11">
        <v>13</v>
      </c>
      <c r="C199" s="11"/>
      <c r="D199" s="11" t="s">
        <v>662</v>
      </c>
      <c r="E199" s="14" t="s">
        <v>692</v>
      </c>
      <c r="F199" s="14" t="s">
        <v>696</v>
      </c>
      <c r="G199" s="14" t="s">
        <v>700</v>
      </c>
      <c r="H199" s="14" t="s">
        <v>11</v>
      </c>
      <c r="I199" s="14" t="str">
        <f>"07060"</f>
        <v>07060</v>
      </c>
      <c r="J199" s="14">
        <v>0</v>
      </c>
      <c r="K199" s="14">
        <v>0</v>
      </c>
      <c r="L199" s="7"/>
      <c r="M199" s="15" t="s">
        <v>641</v>
      </c>
      <c r="N199" s="17"/>
    </row>
    <row r="200" spans="1:14" x14ac:dyDescent="0.3">
      <c r="A200" s="11">
        <v>404</v>
      </c>
      <c r="B200" s="11">
        <v>14</v>
      </c>
      <c r="C200" s="11"/>
      <c r="D200" s="11" t="s">
        <v>662</v>
      </c>
      <c r="E200" s="14" t="s">
        <v>693</v>
      </c>
      <c r="F200" s="14" t="s">
        <v>697</v>
      </c>
      <c r="G200" s="14" t="s">
        <v>701</v>
      </c>
      <c r="H200" s="14" t="s">
        <v>702</v>
      </c>
      <c r="I200" s="14" t="str">
        <f>"07092"</f>
        <v>07092</v>
      </c>
      <c r="J200" s="14">
        <v>1960</v>
      </c>
      <c r="K200" s="14">
        <v>0.19040000000000001</v>
      </c>
      <c r="L200" s="7"/>
      <c r="M200" s="15" t="s">
        <v>641</v>
      </c>
      <c r="N200" s="17"/>
    </row>
    <row r="201" spans="1:14" x14ac:dyDescent="0.3">
      <c r="A201" s="21">
        <v>404</v>
      </c>
      <c r="B201" s="21">
        <v>16</v>
      </c>
      <c r="C201" s="29"/>
      <c r="D201" s="29" t="s">
        <v>826</v>
      </c>
      <c r="E201" s="22" t="s">
        <v>904</v>
      </c>
      <c r="F201" s="22" t="s">
        <v>1045</v>
      </c>
      <c r="G201" s="22" t="s">
        <v>1009</v>
      </c>
      <c r="H201" s="22" t="s">
        <v>1010</v>
      </c>
      <c r="I201" s="22"/>
      <c r="J201" s="22"/>
      <c r="K201" s="22"/>
      <c r="L201" s="25"/>
      <c r="M201" s="15" t="s">
        <v>641</v>
      </c>
      <c r="N201" s="17"/>
    </row>
    <row r="202" spans="1:14" x14ac:dyDescent="0.3">
      <c r="A202" s="32">
        <v>405</v>
      </c>
      <c r="B202" s="32">
        <v>5</v>
      </c>
      <c r="C202" s="32"/>
      <c r="D202" s="32" t="s">
        <v>826</v>
      </c>
      <c r="E202" s="44" t="s">
        <v>1011</v>
      </c>
      <c r="F202" s="44" t="s">
        <v>1014</v>
      </c>
      <c r="G202" s="44" t="s">
        <v>1012</v>
      </c>
      <c r="H202" s="44" t="s">
        <v>1013</v>
      </c>
      <c r="I202" s="44" t="s">
        <v>1015</v>
      </c>
      <c r="J202" s="44"/>
      <c r="K202" s="44"/>
      <c r="L202" s="46" t="s">
        <v>852</v>
      </c>
      <c r="M202" s="56" t="s">
        <v>906</v>
      </c>
      <c r="N202" s="17"/>
    </row>
    <row r="203" spans="1:14" x14ac:dyDescent="0.3">
      <c r="A203" s="32">
        <v>405</v>
      </c>
      <c r="B203" s="32">
        <v>6</v>
      </c>
      <c r="C203" s="32" t="s">
        <v>826</v>
      </c>
      <c r="D203" s="32"/>
      <c r="E203" s="44" t="s">
        <v>907</v>
      </c>
      <c r="F203" s="44" t="s">
        <v>1014</v>
      </c>
      <c r="G203" s="44" t="s">
        <v>1012</v>
      </c>
      <c r="H203" s="44" t="s">
        <v>1013</v>
      </c>
      <c r="I203" s="44" t="s">
        <v>1015</v>
      </c>
      <c r="J203" s="44"/>
      <c r="K203" s="44"/>
      <c r="L203" s="46"/>
      <c r="M203" s="35" t="s">
        <v>641</v>
      </c>
      <c r="N203" s="17"/>
    </row>
    <row r="204" spans="1:14" x14ac:dyDescent="0.3">
      <c r="A204" s="32">
        <v>405</v>
      </c>
      <c r="B204" s="32">
        <v>7</v>
      </c>
      <c r="C204" s="32"/>
      <c r="D204" s="32" t="s">
        <v>826</v>
      </c>
      <c r="E204" s="44" t="s">
        <v>908</v>
      </c>
      <c r="F204" s="44" t="s">
        <v>1095</v>
      </c>
      <c r="G204" s="44" t="s">
        <v>1012</v>
      </c>
      <c r="H204" s="44" t="s">
        <v>1013</v>
      </c>
      <c r="I204" s="44" t="s">
        <v>1015</v>
      </c>
      <c r="J204" s="44"/>
      <c r="K204" s="44"/>
      <c r="L204" s="46">
        <v>66547</v>
      </c>
      <c r="M204" s="35" t="s">
        <v>587</v>
      </c>
      <c r="N204" s="17"/>
    </row>
    <row r="205" spans="1:14" x14ac:dyDescent="0.3">
      <c r="A205" s="21">
        <v>405</v>
      </c>
      <c r="B205" s="21">
        <v>8</v>
      </c>
      <c r="C205" s="21"/>
      <c r="D205" s="29" t="s">
        <v>826</v>
      </c>
      <c r="E205" s="22" t="s">
        <v>909</v>
      </c>
      <c r="F205" s="25" t="s">
        <v>708</v>
      </c>
      <c r="G205" s="25" t="s">
        <v>712</v>
      </c>
      <c r="H205" s="25" t="s">
        <v>11</v>
      </c>
      <c r="I205" s="25" t="str">
        <f>"07060"</f>
        <v>07060</v>
      </c>
      <c r="J205" s="22"/>
      <c r="K205" s="22"/>
      <c r="L205" s="26"/>
      <c r="M205" s="23"/>
      <c r="N205" s="17"/>
    </row>
    <row r="206" spans="1:14" x14ac:dyDescent="0.3">
      <c r="A206" s="11">
        <v>405</v>
      </c>
      <c r="B206" s="11">
        <v>9</v>
      </c>
      <c r="C206" s="11"/>
      <c r="D206" s="11" t="s">
        <v>662</v>
      </c>
      <c r="E206" s="13" t="s">
        <v>910</v>
      </c>
      <c r="F206" s="30" t="s">
        <v>708</v>
      </c>
      <c r="G206" s="30" t="s">
        <v>712</v>
      </c>
      <c r="H206" s="30" t="s">
        <v>11</v>
      </c>
      <c r="I206" s="30" t="str">
        <f>"07060"</f>
        <v>07060</v>
      </c>
      <c r="J206" s="30">
        <v>0</v>
      </c>
      <c r="K206" s="14"/>
      <c r="L206" s="8"/>
      <c r="M206" s="15" t="s">
        <v>641</v>
      </c>
      <c r="N206" s="17"/>
    </row>
    <row r="207" spans="1:14" x14ac:dyDescent="0.3">
      <c r="A207" s="11">
        <v>405</v>
      </c>
      <c r="B207" s="11">
        <v>10</v>
      </c>
      <c r="C207" s="11"/>
      <c r="D207" s="11" t="s">
        <v>662</v>
      </c>
      <c r="E207" s="13" t="s">
        <v>911</v>
      </c>
      <c r="F207" s="30" t="s">
        <v>709</v>
      </c>
      <c r="G207" s="30" t="s">
        <v>713</v>
      </c>
      <c r="H207" s="30" t="s">
        <v>715</v>
      </c>
      <c r="I207" s="30" t="str">
        <f>"07069"</f>
        <v>07069</v>
      </c>
      <c r="J207" s="30">
        <v>1905</v>
      </c>
      <c r="K207" s="14"/>
      <c r="L207" s="8"/>
      <c r="M207" s="15" t="s">
        <v>641</v>
      </c>
      <c r="N207" s="17"/>
    </row>
    <row r="208" spans="1:14" x14ac:dyDescent="0.3">
      <c r="A208" s="11">
        <v>405</v>
      </c>
      <c r="B208" s="11">
        <v>11</v>
      </c>
      <c r="C208" s="11"/>
      <c r="D208" s="11" t="s">
        <v>662</v>
      </c>
      <c r="E208" s="13" t="s">
        <v>912</v>
      </c>
      <c r="F208" s="30" t="s">
        <v>710</v>
      </c>
      <c r="G208" s="30" t="s">
        <v>714</v>
      </c>
      <c r="H208" s="30" t="s">
        <v>716</v>
      </c>
      <c r="I208" s="30" t="str">
        <f>"07069"</f>
        <v>07069</v>
      </c>
      <c r="J208" s="30">
        <v>1921</v>
      </c>
      <c r="K208" s="14"/>
      <c r="L208" s="8"/>
      <c r="M208" s="15" t="s">
        <v>641</v>
      </c>
      <c r="N208" s="17"/>
    </row>
    <row r="209" spans="1:14" x14ac:dyDescent="0.3">
      <c r="A209" s="11">
        <v>405</v>
      </c>
      <c r="B209" s="11">
        <v>12</v>
      </c>
      <c r="C209" s="11"/>
      <c r="D209" s="11" t="s">
        <v>662</v>
      </c>
      <c r="E209" s="13" t="s">
        <v>913</v>
      </c>
      <c r="F209" s="30" t="s">
        <v>711</v>
      </c>
      <c r="G209" s="30" t="s">
        <v>707</v>
      </c>
      <c r="H209" s="30" t="s">
        <v>11</v>
      </c>
      <c r="I209" s="30" t="str">
        <f>"07060"</f>
        <v>07060</v>
      </c>
      <c r="J209" s="30">
        <v>1921</v>
      </c>
      <c r="K209" s="14"/>
      <c r="L209" s="8"/>
      <c r="M209" s="15" t="s">
        <v>641</v>
      </c>
      <c r="N209" s="17"/>
    </row>
    <row r="210" spans="1:14" x14ac:dyDescent="0.3">
      <c r="A210" s="21">
        <v>405</v>
      </c>
      <c r="B210" s="21">
        <v>13</v>
      </c>
      <c r="C210" s="21"/>
      <c r="D210" s="21" t="s">
        <v>826</v>
      </c>
      <c r="E210" s="22" t="s">
        <v>1017</v>
      </c>
      <c r="F210" s="25" t="s">
        <v>1018</v>
      </c>
      <c r="G210" s="22" t="s">
        <v>1017</v>
      </c>
      <c r="H210" s="22" t="s">
        <v>831</v>
      </c>
      <c r="I210" s="22"/>
      <c r="J210" s="22"/>
      <c r="K210" s="22"/>
      <c r="L210" s="26"/>
      <c r="M210" s="15" t="s">
        <v>641</v>
      </c>
      <c r="N210" s="17"/>
    </row>
    <row r="211" spans="1:14" x14ac:dyDescent="0.3">
      <c r="A211" s="21">
        <v>405</v>
      </c>
      <c r="B211" s="21">
        <v>14</v>
      </c>
      <c r="C211" s="21" t="s">
        <v>826</v>
      </c>
      <c r="D211" s="21"/>
      <c r="E211" s="22" t="s">
        <v>905</v>
      </c>
      <c r="F211" s="22" t="s">
        <v>1014</v>
      </c>
      <c r="G211" s="22" t="s">
        <v>1012</v>
      </c>
      <c r="H211" s="22" t="s">
        <v>1013</v>
      </c>
      <c r="I211" s="22" t="s">
        <v>1015</v>
      </c>
      <c r="J211" s="22"/>
      <c r="K211" s="22"/>
      <c r="L211" s="26"/>
      <c r="M211" s="15" t="s">
        <v>641</v>
      </c>
      <c r="N211" s="17"/>
    </row>
    <row r="212" spans="1:14" x14ac:dyDescent="0.3">
      <c r="A212" s="21">
        <v>405</v>
      </c>
      <c r="B212" s="21">
        <v>15</v>
      </c>
      <c r="C212" s="21"/>
      <c r="D212" s="21" t="s">
        <v>826</v>
      </c>
      <c r="E212" s="22" t="s">
        <v>903</v>
      </c>
      <c r="F212" s="22" t="s">
        <v>1019</v>
      </c>
      <c r="G212" s="22" t="s">
        <v>903</v>
      </c>
      <c r="H212" s="22" t="s">
        <v>831</v>
      </c>
      <c r="I212" s="22"/>
      <c r="J212" s="22"/>
      <c r="K212" s="22"/>
      <c r="L212" s="26"/>
      <c r="M212" s="15" t="s">
        <v>641</v>
      </c>
      <c r="N212" s="17"/>
    </row>
    <row r="213" spans="1:14" x14ac:dyDescent="0.3">
      <c r="A213" s="11">
        <v>409</v>
      </c>
      <c r="B213" s="11">
        <v>9</v>
      </c>
      <c r="C213" s="11"/>
      <c r="D213" s="11" t="s">
        <v>662</v>
      </c>
      <c r="E213" s="14" t="s">
        <v>704</v>
      </c>
      <c r="F213" s="14" t="s">
        <v>708</v>
      </c>
      <c r="G213" s="14" t="s">
        <v>712</v>
      </c>
      <c r="H213" s="14" t="s">
        <v>11</v>
      </c>
      <c r="I213" s="14" t="str">
        <f>"07060"</f>
        <v>07060</v>
      </c>
      <c r="J213" s="14">
        <v>0</v>
      </c>
      <c r="K213" s="14">
        <v>0.1191</v>
      </c>
      <c r="L213" s="7"/>
      <c r="M213" s="15" t="s">
        <v>641</v>
      </c>
      <c r="N213" s="17"/>
    </row>
    <row r="214" spans="1:14" x14ac:dyDescent="0.3">
      <c r="A214" s="11">
        <v>409</v>
      </c>
      <c r="B214" s="11">
        <v>10</v>
      </c>
      <c r="C214" s="11"/>
      <c r="D214" s="11" t="s">
        <v>662</v>
      </c>
      <c r="E214" s="14" t="s">
        <v>705</v>
      </c>
      <c r="F214" s="14" t="s">
        <v>709</v>
      </c>
      <c r="G214" s="14" t="s">
        <v>713</v>
      </c>
      <c r="H214" s="14" t="s">
        <v>715</v>
      </c>
      <c r="I214" s="14" t="str">
        <f>"07069"</f>
        <v>07069</v>
      </c>
      <c r="J214" s="14">
        <v>1905</v>
      </c>
      <c r="K214" s="14">
        <v>0.1191</v>
      </c>
      <c r="L214" s="7"/>
      <c r="M214" s="15" t="s">
        <v>641</v>
      </c>
      <c r="N214" s="17"/>
    </row>
    <row r="215" spans="1:14" x14ac:dyDescent="0.3">
      <c r="A215" s="11">
        <v>409</v>
      </c>
      <c r="B215" s="11">
        <v>11</v>
      </c>
      <c r="C215" s="11"/>
      <c r="D215" s="11" t="s">
        <v>662</v>
      </c>
      <c r="E215" s="14" t="s">
        <v>706</v>
      </c>
      <c r="F215" s="14" t="s">
        <v>710</v>
      </c>
      <c r="G215" s="14" t="s">
        <v>714</v>
      </c>
      <c r="H215" s="14" t="s">
        <v>716</v>
      </c>
      <c r="I215" s="14" t="str">
        <f>"07069"</f>
        <v>07069</v>
      </c>
      <c r="J215" s="14">
        <v>1921</v>
      </c>
      <c r="K215" s="14">
        <v>0.1787</v>
      </c>
      <c r="L215" s="7"/>
      <c r="M215" s="15" t="s">
        <v>641</v>
      </c>
      <c r="N215" s="17"/>
    </row>
    <row r="216" spans="1:14" x14ac:dyDescent="0.3">
      <c r="A216" s="11">
        <v>409</v>
      </c>
      <c r="B216" s="11">
        <v>12</v>
      </c>
      <c r="C216" s="11"/>
      <c r="D216" s="11" t="s">
        <v>662</v>
      </c>
      <c r="E216" s="14" t="s">
        <v>707</v>
      </c>
      <c r="F216" s="14" t="s">
        <v>711</v>
      </c>
      <c r="G216" s="14" t="s">
        <v>707</v>
      </c>
      <c r="H216" s="14" t="s">
        <v>11</v>
      </c>
      <c r="I216" s="14" t="str">
        <f>"07060"</f>
        <v>07060</v>
      </c>
      <c r="J216" s="14">
        <v>1921</v>
      </c>
      <c r="K216" s="14">
        <v>8.6199999999999999E-2</v>
      </c>
      <c r="L216" s="7"/>
      <c r="M216" s="15" t="s">
        <v>642</v>
      </c>
      <c r="N216" s="17"/>
    </row>
    <row r="217" spans="1:14" x14ac:dyDescent="0.3">
      <c r="A217" s="43">
        <v>410</v>
      </c>
      <c r="B217" s="43">
        <v>2</v>
      </c>
      <c r="C217" s="42"/>
      <c r="D217" s="42" t="s">
        <v>662</v>
      </c>
      <c r="E217" s="41" t="s">
        <v>717</v>
      </c>
      <c r="F217" s="41"/>
      <c r="G217" s="41"/>
      <c r="H217" s="14" t="s">
        <v>831</v>
      </c>
      <c r="I217" s="14"/>
      <c r="J217" s="14"/>
      <c r="K217" s="14"/>
      <c r="L217" s="14"/>
      <c r="M217" s="15" t="s">
        <v>642</v>
      </c>
      <c r="N217" s="17" t="s">
        <v>724</v>
      </c>
    </row>
    <row r="218" spans="1:14" x14ac:dyDescent="0.3">
      <c r="A218" s="13">
        <v>410</v>
      </c>
      <c r="B218" s="13">
        <v>12</v>
      </c>
      <c r="C218" s="11"/>
      <c r="D218" s="11" t="s">
        <v>662</v>
      </c>
      <c r="E218" s="14" t="s">
        <v>718</v>
      </c>
      <c r="F218" s="14" t="s">
        <v>721</v>
      </c>
      <c r="G218" s="14"/>
      <c r="H218" s="14" t="s">
        <v>831</v>
      </c>
      <c r="I218" s="14"/>
      <c r="J218" s="14"/>
      <c r="K218" s="14"/>
      <c r="L218" s="15">
        <v>30189</v>
      </c>
      <c r="M218" s="15" t="s">
        <v>590</v>
      </c>
      <c r="N218" s="17" t="s">
        <v>725</v>
      </c>
    </row>
    <row r="219" spans="1:14" x14ac:dyDescent="0.3">
      <c r="A219" s="20">
        <v>413</v>
      </c>
      <c r="B219" s="20">
        <v>1.01</v>
      </c>
      <c r="C219" s="21"/>
      <c r="D219" s="21" t="s">
        <v>826</v>
      </c>
      <c r="E219" s="22" t="s">
        <v>966</v>
      </c>
      <c r="F219" s="22" t="s">
        <v>969</v>
      </c>
      <c r="G219" s="22"/>
      <c r="H219" s="22" t="s">
        <v>831</v>
      </c>
      <c r="I219" s="22"/>
      <c r="J219" s="22"/>
      <c r="K219" s="22"/>
      <c r="L219" s="23">
        <v>14093</v>
      </c>
      <c r="M219" s="56" t="s">
        <v>968</v>
      </c>
      <c r="N219" s="17" t="s">
        <v>967</v>
      </c>
    </row>
    <row r="220" spans="1:14" x14ac:dyDescent="0.3">
      <c r="A220" s="20">
        <v>417</v>
      </c>
      <c r="B220" s="20">
        <v>14</v>
      </c>
      <c r="C220" s="21"/>
      <c r="D220" s="21" t="s">
        <v>826</v>
      </c>
      <c r="E220" s="22" t="s">
        <v>914</v>
      </c>
      <c r="F220" s="22" t="s">
        <v>1016</v>
      </c>
      <c r="G220" s="22" t="s">
        <v>914</v>
      </c>
      <c r="H220" s="22" t="s">
        <v>831</v>
      </c>
      <c r="I220" s="22"/>
      <c r="J220" s="22"/>
      <c r="K220" s="22"/>
      <c r="L220" s="23"/>
      <c r="M220" s="15" t="s">
        <v>642</v>
      </c>
      <c r="N220" s="17"/>
    </row>
    <row r="221" spans="1:14" x14ac:dyDescent="0.3">
      <c r="A221" s="20">
        <v>421</v>
      </c>
      <c r="B221" s="20">
        <v>3</v>
      </c>
      <c r="C221" s="21"/>
      <c r="D221" s="21" t="s">
        <v>826</v>
      </c>
      <c r="E221" s="22" t="s">
        <v>915</v>
      </c>
      <c r="F221" s="25" t="s">
        <v>1020</v>
      </c>
      <c r="G221" s="22" t="s">
        <v>915</v>
      </c>
      <c r="H221" s="22" t="s">
        <v>831</v>
      </c>
      <c r="I221" s="22"/>
      <c r="J221" s="22"/>
      <c r="K221" s="22"/>
      <c r="L221" s="23"/>
      <c r="M221" s="15"/>
      <c r="N221" s="17"/>
    </row>
    <row r="222" spans="1:14" x14ac:dyDescent="0.3">
      <c r="A222" s="20">
        <v>427</v>
      </c>
      <c r="B222" s="20">
        <v>7</v>
      </c>
      <c r="C222" s="21" t="s">
        <v>826</v>
      </c>
      <c r="D222" s="21" t="s">
        <v>826</v>
      </c>
      <c r="E222" s="22" t="s">
        <v>827</v>
      </c>
      <c r="F222" s="22" t="s">
        <v>1021</v>
      </c>
      <c r="G222" s="22" t="s">
        <v>827</v>
      </c>
      <c r="H222" s="22" t="s">
        <v>11</v>
      </c>
      <c r="I222" s="22">
        <v>7060</v>
      </c>
      <c r="J222" s="22"/>
      <c r="K222" s="22"/>
      <c r="L222" s="23">
        <v>257859</v>
      </c>
      <c r="M222" s="15" t="s">
        <v>586</v>
      </c>
      <c r="N222" s="17"/>
    </row>
    <row r="223" spans="1:14" x14ac:dyDescent="0.3">
      <c r="A223" s="13" t="str">
        <f t="shared" ref="A223" si="44">"443       "</f>
        <v xml:space="preserve">443       </v>
      </c>
      <c r="B223" s="13" t="str">
        <f>"16        "</f>
        <v xml:space="preserve">16        </v>
      </c>
      <c r="C223" s="11"/>
      <c r="D223" s="11" t="s">
        <v>662</v>
      </c>
      <c r="E223" s="14" t="s">
        <v>719</v>
      </c>
      <c r="F223" s="14" t="s">
        <v>722</v>
      </c>
      <c r="G223" s="14" t="s">
        <v>723</v>
      </c>
      <c r="H223" s="14" t="s">
        <v>39</v>
      </c>
      <c r="I223" s="14" t="str">
        <f>"07076"</f>
        <v>07076</v>
      </c>
      <c r="J223" s="14">
        <v>1972</v>
      </c>
      <c r="K223" s="14">
        <v>0.61619997000000004</v>
      </c>
      <c r="L223" s="14" t="s">
        <v>866</v>
      </c>
      <c r="M223" s="15" t="s">
        <v>921</v>
      </c>
      <c r="N223" s="17" t="s">
        <v>724</v>
      </c>
    </row>
    <row r="224" spans="1:14" x14ac:dyDescent="0.3">
      <c r="A224" s="13">
        <v>451</v>
      </c>
      <c r="B224" s="13">
        <v>14</v>
      </c>
      <c r="C224" s="11"/>
      <c r="D224" s="11" t="s">
        <v>662</v>
      </c>
      <c r="E224" s="14" t="s">
        <v>720</v>
      </c>
      <c r="F224" s="14" t="s">
        <v>1046</v>
      </c>
      <c r="G224" s="14" t="s">
        <v>720</v>
      </c>
      <c r="H224" s="14" t="s">
        <v>1047</v>
      </c>
      <c r="I224" s="14"/>
      <c r="J224" s="14"/>
      <c r="K224" s="14"/>
      <c r="L224" s="15">
        <v>49533</v>
      </c>
      <c r="M224" s="56" t="s">
        <v>726</v>
      </c>
      <c r="N224" s="17" t="s">
        <v>727</v>
      </c>
    </row>
    <row r="225" spans="1:14" x14ac:dyDescent="0.3">
      <c r="A225" s="20">
        <v>458</v>
      </c>
      <c r="B225" s="20">
        <v>47.01</v>
      </c>
      <c r="C225" s="21"/>
      <c r="D225" s="21" t="s">
        <v>826</v>
      </c>
      <c r="E225" s="22" t="s">
        <v>916</v>
      </c>
      <c r="F225" s="22" t="s">
        <v>1022</v>
      </c>
      <c r="G225" s="22" t="s">
        <v>916</v>
      </c>
      <c r="H225" s="22" t="s">
        <v>831</v>
      </c>
      <c r="I225" s="22"/>
      <c r="J225" s="22"/>
      <c r="K225" s="22"/>
      <c r="L225" s="23"/>
      <c r="M225" s="15" t="s">
        <v>642</v>
      </c>
      <c r="N225" s="17"/>
    </row>
    <row r="226" spans="1:14" x14ac:dyDescent="0.3">
      <c r="A226" s="20">
        <v>459</v>
      </c>
      <c r="B226" s="20">
        <v>28</v>
      </c>
      <c r="C226" s="21"/>
      <c r="D226" s="21" t="s">
        <v>826</v>
      </c>
      <c r="E226" s="22"/>
      <c r="F226" s="22" t="s">
        <v>1023</v>
      </c>
      <c r="G226" s="22"/>
      <c r="H226" s="22"/>
      <c r="I226" s="22"/>
      <c r="J226" s="22"/>
      <c r="K226" s="22"/>
      <c r="L226" s="23"/>
      <c r="M226" s="15" t="s">
        <v>641</v>
      </c>
      <c r="N226" s="17"/>
    </row>
    <row r="227" spans="1:14" x14ac:dyDescent="0.3">
      <c r="A227" s="7" t="str">
        <f t="shared" ref="A227:A231" si="45">"460       "</f>
        <v xml:space="preserve">460       </v>
      </c>
      <c r="B227" s="7" t="str">
        <f>"1         "</f>
        <v xml:space="preserve">1         </v>
      </c>
      <c r="C227" s="7" t="s">
        <v>10</v>
      </c>
      <c r="D227" s="7" t="s">
        <v>662</v>
      </c>
      <c r="E227" s="7" t="s">
        <v>309</v>
      </c>
      <c r="F227" s="7" t="s">
        <v>310</v>
      </c>
      <c r="G227" s="7" t="s">
        <v>311</v>
      </c>
      <c r="H227" s="7" t="s">
        <v>19</v>
      </c>
      <c r="I227" s="7" t="str">
        <f>"07062"</f>
        <v>07062</v>
      </c>
      <c r="J227" s="7">
        <v>1975</v>
      </c>
      <c r="K227" s="7">
        <v>0</v>
      </c>
      <c r="L227" s="8">
        <v>52047</v>
      </c>
      <c r="M227" s="8" t="s">
        <v>590</v>
      </c>
      <c r="N227" s="9"/>
    </row>
    <row r="228" spans="1:14" x14ac:dyDescent="0.3">
      <c r="A228" s="11">
        <v>460</v>
      </c>
      <c r="B228" s="11">
        <v>2</v>
      </c>
      <c r="C228" s="7"/>
      <c r="D228" s="7" t="s">
        <v>662</v>
      </c>
      <c r="E228" s="7" t="s">
        <v>823</v>
      </c>
      <c r="F228" s="7"/>
      <c r="G228" s="7" t="s">
        <v>824</v>
      </c>
      <c r="H228" s="7" t="s">
        <v>19</v>
      </c>
      <c r="I228" s="7" t="s">
        <v>1032</v>
      </c>
      <c r="J228" s="7"/>
      <c r="K228" s="7"/>
      <c r="L228" s="8" t="s">
        <v>1093</v>
      </c>
      <c r="M228" s="53" t="s">
        <v>1094</v>
      </c>
      <c r="N228" s="8" t="s">
        <v>825</v>
      </c>
    </row>
    <row r="229" spans="1:14" x14ac:dyDescent="0.3">
      <c r="A229" s="7" t="str">
        <f t="shared" si="45"/>
        <v xml:space="preserve">460       </v>
      </c>
      <c r="B229" s="7" t="str">
        <f>"3         "</f>
        <v xml:space="preserve">3         </v>
      </c>
      <c r="C229" s="7" t="s">
        <v>10</v>
      </c>
      <c r="D229" s="7" t="s">
        <v>662</v>
      </c>
      <c r="E229" s="7" t="s">
        <v>312</v>
      </c>
      <c r="F229" s="7" t="s">
        <v>313</v>
      </c>
      <c r="G229" s="7" t="s">
        <v>314</v>
      </c>
      <c r="H229" s="7" t="s">
        <v>11</v>
      </c>
      <c r="I229" s="7" t="str">
        <f>"07060"</f>
        <v>07060</v>
      </c>
      <c r="J229" s="7">
        <v>0</v>
      </c>
      <c r="K229" s="7">
        <v>0.45910001</v>
      </c>
      <c r="L229" s="8">
        <v>24704</v>
      </c>
      <c r="M229" s="53" t="s">
        <v>593</v>
      </c>
      <c r="N229" s="16"/>
    </row>
    <row r="230" spans="1:14" x14ac:dyDescent="0.3">
      <c r="A230" s="7" t="str">
        <f t="shared" si="45"/>
        <v xml:space="preserve">460       </v>
      </c>
      <c r="B230" s="7" t="str">
        <f>"6         "</f>
        <v xml:space="preserve">6         </v>
      </c>
      <c r="C230" s="7" t="s">
        <v>10</v>
      </c>
      <c r="D230" s="7" t="s">
        <v>662</v>
      </c>
      <c r="E230" s="7" t="s">
        <v>315</v>
      </c>
      <c r="F230" s="7" t="s">
        <v>316</v>
      </c>
      <c r="G230" s="7" t="s">
        <v>317</v>
      </c>
      <c r="H230" s="7" t="s">
        <v>318</v>
      </c>
      <c r="I230" s="7" t="str">
        <f>"07013"</f>
        <v>07013</v>
      </c>
      <c r="J230" s="7">
        <v>1970</v>
      </c>
      <c r="K230" s="7">
        <v>1.8365000499999999</v>
      </c>
      <c r="L230" s="7"/>
      <c r="M230" s="8" t="s">
        <v>641</v>
      </c>
      <c r="N230" s="9"/>
    </row>
    <row r="231" spans="1:14" x14ac:dyDescent="0.3">
      <c r="A231" s="13" t="str">
        <f t="shared" si="45"/>
        <v xml:space="preserve">460       </v>
      </c>
      <c r="B231" s="13" t="str">
        <f>"8         "</f>
        <v xml:space="preserve">8         </v>
      </c>
      <c r="C231" s="7"/>
      <c r="D231" s="7" t="s">
        <v>662</v>
      </c>
      <c r="E231" s="14" t="s">
        <v>728</v>
      </c>
      <c r="F231" s="14" t="s">
        <v>729</v>
      </c>
      <c r="G231" s="14" t="s">
        <v>730</v>
      </c>
      <c r="H231" s="14" t="s">
        <v>731</v>
      </c>
      <c r="I231" s="14" t="str">
        <f>"08034"</f>
        <v>08034</v>
      </c>
      <c r="J231" s="7"/>
      <c r="K231" s="7"/>
      <c r="L231" s="15">
        <v>865</v>
      </c>
      <c r="M231" s="15" t="s">
        <v>732</v>
      </c>
      <c r="N231" s="16"/>
    </row>
    <row r="232" spans="1:14" x14ac:dyDescent="0.3">
      <c r="A232" s="20">
        <v>504</v>
      </c>
      <c r="B232" s="20">
        <v>5</v>
      </c>
      <c r="C232" s="25" t="s">
        <v>826</v>
      </c>
      <c r="D232" s="25"/>
      <c r="E232" s="22" t="s">
        <v>837</v>
      </c>
      <c r="F232" s="25" t="s">
        <v>1024</v>
      </c>
      <c r="G232" s="22" t="s">
        <v>837</v>
      </c>
      <c r="H232" s="22" t="s">
        <v>831</v>
      </c>
      <c r="I232" s="22" t="s">
        <v>832</v>
      </c>
      <c r="J232" s="25"/>
      <c r="K232" s="25"/>
      <c r="L232" s="23">
        <v>441265</v>
      </c>
      <c r="M232" s="56" t="s">
        <v>816</v>
      </c>
      <c r="N232" s="9"/>
    </row>
    <row r="233" spans="1:14" s="64" customFormat="1" x14ac:dyDescent="0.3">
      <c r="A233" s="32">
        <v>535</v>
      </c>
      <c r="B233" s="62">
        <v>21.01</v>
      </c>
      <c r="C233" s="33"/>
      <c r="D233" s="33" t="s">
        <v>826</v>
      </c>
      <c r="E233" s="44" t="s">
        <v>1048</v>
      </c>
      <c r="F233" s="33" t="s">
        <v>1025</v>
      </c>
      <c r="G233" s="44" t="s">
        <v>1028</v>
      </c>
      <c r="H233" s="44" t="s">
        <v>1013</v>
      </c>
      <c r="I233" s="44" t="s">
        <v>1015</v>
      </c>
      <c r="J233" s="33"/>
      <c r="K233" s="33"/>
      <c r="L233" s="35"/>
      <c r="M233" s="35" t="s">
        <v>641</v>
      </c>
      <c r="N233" s="63" t="s">
        <v>1103</v>
      </c>
    </row>
    <row r="234" spans="1:14" s="64" customFormat="1" x14ac:dyDescent="0.3">
      <c r="A234" s="62">
        <v>535</v>
      </c>
      <c r="B234" s="62">
        <v>23</v>
      </c>
      <c r="C234" s="33"/>
      <c r="D234" s="33" t="s">
        <v>826</v>
      </c>
      <c r="E234" s="44" t="s">
        <v>917</v>
      </c>
      <c r="F234" s="33" t="s">
        <v>1025</v>
      </c>
      <c r="G234" s="44" t="s">
        <v>1028</v>
      </c>
      <c r="H234" s="44" t="s">
        <v>1013</v>
      </c>
      <c r="I234" s="44" t="s">
        <v>1015</v>
      </c>
      <c r="J234" s="33"/>
      <c r="K234" s="33"/>
      <c r="L234" s="35"/>
      <c r="M234" s="35" t="s">
        <v>641</v>
      </c>
      <c r="N234" s="63" t="s">
        <v>1103</v>
      </c>
    </row>
    <row r="235" spans="1:14" s="64" customFormat="1" x14ac:dyDescent="0.3">
      <c r="A235" s="62">
        <v>535</v>
      </c>
      <c r="B235" s="62">
        <v>24</v>
      </c>
      <c r="C235" s="33"/>
      <c r="D235" s="33" t="s">
        <v>826</v>
      </c>
      <c r="E235" s="44" t="s">
        <v>918</v>
      </c>
      <c r="F235" s="33" t="s">
        <v>1025</v>
      </c>
      <c r="G235" s="44" t="s">
        <v>1028</v>
      </c>
      <c r="H235" s="44" t="s">
        <v>1013</v>
      </c>
      <c r="I235" s="44" t="s">
        <v>1015</v>
      </c>
      <c r="J235" s="33"/>
      <c r="K235" s="33"/>
      <c r="L235" s="35"/>
      <c r="M235" s="35" t="s">
        <v>641</v>
      </c>
      <c r="N235" s="63" t="s">
        <v>1103</v>
      </c>
    </row>
    <row r="236" spans="1:14" x14ac:dyDescent="0.3">
      <c r="A236" s="20">
        <v>536</v>
      </c>
      <c r="B236" s="20">
        <v>3</v>
      </c>
      <c r="C236" s="25"/>
      <c r="D236" s="25" t="s">
        <v>826</v>
      </c>
      <c r="E236" s="22" t="s">
        <v>920</v>
      </c>
      <c r="F236" s="25" t="s">
        <v>1026</v>
      </c>
      <c r="G236" s="22" t="s">
        <v>920</v>
      </c>
      <c r="H236" s="22" t="s">
        <v>831</v>
      </c>
      <c r="I236" s="25" t="s">
        <v>832</v>
      </c>
      <c r="J236" s="25"/>
      <c r="K236" s="25"/>
      <c r="L236" s="23"/>
      <c r="M236" s="15" t="s">
        <v>641</v>
      </c>
      <c r="N236" s="9"/>
    </row>
    <row r="237" spans="1:14" s="64" customFormat="1" x14ac:dyDescent="0.3">
      <c r="A237" s="62">
        <v>536</v>
      </c>
      <c r="B237" s="62">
        <v>54</v>
      </c>
      <c r="C237" s="33"/>
      <c r="D237" s="33" t="s">
        <v>826</v>
      </c>
      <c r="E237" s="44" t="s">
        <v>919</v>
      </c>
      <c r="F237" s="33" t="s">
        <v>1027</v>
      </c>
      <c r="G237" s="44" t="s">
        <v>1029</v>
      </c>
      <c r="H237" s="44" t="s">
        <v>1030</v>
      </c>
      <c r="I237" s="44" t="s">
        <v>1031</v>
      </c>
      <c r="J237" s="33"/>
      <c r="K237" s="33"/>
      <c r="L237" s="35"/>
      <c r="M237" s="35" t="s">
        <v>642</v>
      </c>
      <c r="N237" s="63"/>
    </row>
    <row r="238" spans="1:14" x14ac:dyDescent="0.3">
      <c r="A238" s="20">
        <v>553</v>
      </c>
      <c r="B238" s="20">
        <v>9</v>
      </c>
      <c r="C238" s="25"/>
      <c r="D238" s="25" t="s">
        <v>826</v>
      </c>
      <c r="E238" s="22" t="s">
        <v>846</v>
      </c>
      <c r="F238" s="22" t="s">
        <v>847</v>
      </c>
      <c r="G238" s="22"/>
      <c r="H238" s="22" t="s">
        <v>831</v>
      </c>
      <c r="I238" s="22" t="s">
        <v>832</v>
      </c>
      <c r="J238" s="25"/>
      <c r="K238" s="25"/>
      <c r="L238" s="23">
        <v>401717</v>
      </c>
      <c r="M238" s="56" t="s">
        <v>594</v>
      </c>
      <c r="N238" s="9"/>
    </row>
    <row r="239" spans="1:14" x14ac:dyDescent="0.3">
      <c r="A239" s="13">
        <v>601</v>
      </c>
      <c r="B239" s="13">
        <v>1</v>
      </c>
      <c r="C239" s="7"/>
      <c r="D239" s="7" t="s">
        <v>662</v>
      </c>
      <c r="E239" s="13">
        <v>1</v>
      </c>
      <c r="F239" s="14" t="s">
        <v>733</v>
      </c>
      <c r="G239" s="14" t="s">
        <v>734</v>
      </c>
      <c r="H239" s="7"/>
      <c r="I239" s="14"/>
      <c r="J239" s="7"/>
      <c r="K239" s="7"/>
      <c r="L239" s="15">
        <v>66444</v>
      </c>
      <c r="M239" s="15" t="s">
        <v>590</v>
      </c>
      <c r="N239" s="17" t="s">
        <v>737</v>
      </c>
    </row>
    <row r="240" spans="1:14" x14ac:dyDescent="0.3">
      <c r="A240" s="13">
        <v>602</v>
      </c>
      <c r="B240" s="13">
        <v>1</v>
      </c>
      <c r="C240" s="7"/>
      <c r="D240" s="7" t="s">
        <v>662</v>
      </c>
      <c r="E240" s="13">
        <v>1</v>
      </c>
      <c r="F240" s="14" t="s">
        <v>735</v>
      </c>
      <c r="G240" s="14" t="s">
        <v>736</v>
      </c>
      <c r="H240" s="7"/>
      <c r="I240" s="14"/>
      <c r="J240" s="7"/>
      <c r="K240" s="7"/>
      <c r="L240" s="14"/>
      <c r="M240" s="56" t="s">
        <v>957</v>
      </c>
      <c r="N240" s="17" t="s">
        <v>738</v>
      </c>
    </row>
    <row r="241" spans="1:17" x14ac:dyDescent="0.3">
      <c r="A241" s="7" t="str">
        <f t="shared" ref="A241:A250" si="46">"603       "</f>
        <v xml:space="preserve">603       </v>
      </c>
      <c r="B241" s="7" t="str">
        <f>"1.01      "</f>
        <v xml:space="preserve">1.01      </v>
      </c>
      <c r="C241" s="7" t="s">
        <v>10</v>
      </c>
      <c r="D241" s="7" t="s">
        <v>662</v>
      </c>
      <c r="E241" s="7" t="s">
        <v>319</v>
      </c>
      <c r="F241" s="7" t="s">
        <v>320</v>
      </c>
      <c r="G241" s="7" t="s">
        <v>321</v>
      </c>
      <c r="H241" s="7" t="s">
        <v>322</v>
      </c>
      <c r="I241" s="7" t="str">
        <f>"07066"</f>
        <v>07066</v>
      </c>
      <c r="J241" s="7">
        <v>0</v>
      </c>
      <c r="K241" s="7">
        <v>0.50510001000000004</v>
      </c>
      <c r="L241" s="8">
        <v>381368</v>
      </c>
      <c r="M241" s="53" t="s">
        <v>594</v>
      </c>
      <c r="N241" s="9"/>
    </row>
    <row r="242" spans="1:17" x14ac:dyDescent="0.3">
      <c r="A242" s="7" t="str">
        <f t="shared" si="46"/>
        <v xml:space="preserve">603       </v>
      </c>
      <c r="B242" s="7" t="str">
        <f>"6.01      "</f>
        <v xml:space="preserve">6.01      </v>
      </c>
      <c r="C242" s="7" t="s">
        <v>10</v>
      </c>
      <c r="D242" s="7" t="s">
        <v>662</v>
      </c>
      <c r="E242" s="7" t="s">
        <v>323</v>
      </c>
      <c r="F242" s="7" t="s">
        <v>324</v>
      </c>
      <c r="G242" s="7" t="s">
        <v>325</v>
      </c>
      <c r="H242" s="7" t="s">
        <v>326</v>
      </c>
      <c r="I242" s="7" t="str">
        <f>"34991"</f>
        <v>34991</v>
      </c>
      <c r="J242" s="7">
        <v>1890</v>
      </c>
      <c r="K242" s="7">
        <v>0</v>
      </c>
      <c r="L242" s="7"/>
      <c r="M242" s="8" t="s">
        <v>642</v>
      </c>
      <c r="N242" s="9" t="s">
        <v>648</v>
      </c>
    </row>
    <row r="243" spans="1:17" x14ac:dyDescent="0.3">
      <c r="A243" s="7" t="str">
        <f t="shared" si="46"/>
        <v xml:space="preserve">603       </v>
      </c>
      <c r="B243" s="7" t="str">
        <f>"8         "</f>
        <v xml:space="preserve">8         </v>
      </c>
      <c r="C243" s="7" t="s">
        <v>10</v>
      </c>
      <c r="D243" s="7" t="s">
        <v>662</v>
      </c>
      <c r="E243" s="7" t="s">
        <v>327</v>
      </c>
      <c r="F243" s="7" t="s">
        <v>328</v>
      </c>
      <c r="G243" s="7" t="s">
        <v>325</v>
      </c>
      <c r="H243" s="7" t="s">
        <v>326</v>
      </c>
      <c r="I243" s="7" t="str">
        <f>"34991"</f>
        <v>34991</v>
      </c>
      <c r="J243" s="7">
        <v>0</v>
      </c>
      <c r="K243" s="7">
        <v>0</v>
      </c>
      <c r="L243" s="7"/>
      <c r="M243" s="8" t="s">
        <v>642</v>
      </c>
      <c r="N243" s="9"/>
    </row>
    <row r="244" spans="1:17" x14ac:dyDescent="0.3">
      <c r="A244" s="7" t="str">
        <f t="shared" si="46"/>
        <v xml:space="preserve">603       </v>
      </c>
      <c r="B244" s="7" t="str">
        <f>"9         "</f>
        <v xml:space="preserve">9         </v>
      </c>
      <c r="C244" s="7" t="s">
        <v>10</v>
      </c>
      <c r="D244" s="7" t="s">
        <v>662</v>
      </c>
      <c r="E244" s="7" t="s">
        <v>329</v>
      </c>
      <c r="F244" s="7" t="s">
        <v>330</v>
      </c>
      <c r="G244" s="7" t="s">
        <v>325</v>
      </c>
      <c r="H244" s="7" t="s">
        <v>326</v>
      </c>
      <c r="I244" s="7" t="str">
        <f>"34991"</f>
        <v>34991</v>
      </c>
      <c r="J244" s="7">
        <v>0</v>
      </c>
      <c r="K244" s="7">
        <v>0</v>
      </c>
      <c r="L244" s="8" t="s">
        <v>631</v>
      </c>
      <c r="M244" s="53" t="s">
        <v>637</v>
      </c>
      <c r="N244" s="9" t="s">
        <v>638</v>
      </c>
    </row>
    <row r="245" spans="1:17" x14ac:dyDescent="0.3">
      <c r="A245" s="7" t="str">
        <f t="shared" si="46"/>
        <v xml:space="preserve">603       </v>
      </c>
      <c r="B245" s="7" t="str">
        <f>"10        "</f>
        <v xml:space="preserve">10        </v>
      </c>
      <c r="C245" s="7" t="s">
        <v>10</v>
      </c>
      <c r="D245" s="7" t="s">
        <v>662</v>
      </c>
      <c r="E245" s="7" t="s">
        <v>331</v>
      </c>
      <c r="F245" s="7" t="s">
        <v>332</v>
      </c>
      <c r="G245" s="7" t="s">
        <v>331</v>
      </c>
      <c r="H245" s="7" t="s">
        <v>11</v>
      </c>
      <c r="I245" s="7" t="str">
        <f>"07060"</f>
        <v>07060</v>
      </c>
      <c r="J245" s="7">
        <v>0</v>
      </c>
      <c r="K245" s="7">
        <v>0.13619999999999999</v>
      </c>
      <c r="L245" s="8" t="s">
        <v>631</v>
      </c>
      <c r="M245" s="53" t="s">
        <v>637</v>
      </c>
      <c r="N245" s="9" t="s">
        <v>638</v>
      </c>
    </row>
    <row r="246" spans="1:17" x14ac:dyDescent="0.3">
      <c r="A246" s="7" t="str">
        <f t="shared" si="46"/>
        <v xml:space="preserve">603       </v>
      </c>
      <c r="B246" s="7" t="str">
        <f>"11        "</f>
        <v xml:space="preserve">11        </v>
      </c>
      <c r="C246" s="7" t="s">
        <v>10</v>
      </c>
      <c r="D246" s="7" t="s">
        <v>662</v>
      </c>
      <c r="E246" s="7" t="s">
        <v>333</v>
      </c>
      <c r="F246" s="7" t="s">
        <v>334</v>
      </c>
      <c r="G246" s="7" t="s">
        <v>94</v>
      </c>
      <c r="H246" s="7" t="s">
        <v>19</v>
      </c>
      <c r="I246" s="7" t="str">
        <f>"07061"</f>
        <v>07061</v>
      </c>
      <c r="J246" s="7">
        <v>0</v>
      </c>
      <c r="K246" s="7">
        <v>9.7600000000000006E-2</v>
      </c>
      <c r="L246" s="8" t="s">
        <v>631</v>
      </c>
      <c r="M246" s="53" t="s">
        <v>637</v>
      </c>
      <c r="N246" s="9" t="s">
        <v>638</v>
      </c>
      <c r="Q246" s="3"/>
    </row>
    <row r="247" spans="1:17" x14ac:dyDescent="0.3">
      <c r="A247" s="7" t="str">
        <f t="shared" si="46"/>
        <v xml:space="preserve">603       </v>
      </c>
      <c r="B247" s="7" t="str">
        <f>"12        "</f>
        <v xml:space="preserve">12        </v>
      </c>
      <c r="C247" s="7" t="s">
        <v>10</v>
      </c>
      <c r="D247" s="7" t="s">
        <v>662</v>
      </c>
      <c r="E247" s="7" t="s">
        <v>335</v>
      </c>
      <c r="F247" s="7" t="s">
        <v>336</v>
      </c>
      <c r="G247" s="7" t="s">
        <v>337</v>
      </c>
      <c r="H247" s="7" t="s">
        <v>19</v>
      </c>
      <c r="I247" s="7" t="str">
        <f>"07060"</f>
        <v>07060</v>
      </c>
      <c r="J247" s="7">
        <v>0</v>
      </c>
      <c r="K247" s="7">
        <v>0</v>
      </c>
      <c r="L247" s="8" t="s">
        <v>631</v>
      </c>
      <c r="M247" s="53" t="s">
        <v>637</v>
      </c>
      <c r="N247" s="9" t="s">
        <v>638</v>
      </c>
    </row>
    <row r="248" spans="1:17" x14ac:dyDescent="0.3">
      <c r="A248" s="7" t="str">
        <f t="shared" si="46"/>
        <v xml:space="preserve">603       </v>
      </c>
      <c r="B248" s="7" t="str">
        <f>"13        "</f>
        <v xml:space="preserve">13        </v>
      </c>
      <c r="C248" s="7" t="s">
        <v>10</v>
      </c>
      <c r="D248" s="7" t="s">
        <v>662</v>
      </c>
      <c r="E248" s="7" t="s">
        <v>338</v>
      </c>
      <c r="F248" s="7" t="s">
        <v>339</v>
      </c>
      <c r="G248" s="7" t="s">
        <v>338</v>
      </c>
      <c r="H248" s="7" t="s">
        <v>11</v>
      </c>
      <c r="I248" s="7" t="str">
        <f>"07060"</f>
        <v>07060</v>
      </c>
      <c r="J248" s="7">
        <v>1921</v>
      </c>
      <c r="K248" s="7">
        <v>0</v>
      </c>
      <c r="L248" s="8" t="s">
        <v>631</v>
      </c>
      <c r="M248" s="53" t="s">
        <v>637</v>
      </c>
      <c r="N248" s="9" t="s">
        <v>638</v>
      </c>
    </row>
    <row r="249" spans="1:17" x14ac:dyDescent="0.3">
      <c r="A249" s="7" t="str">
        <f t="shared" si="46"/>
        <v xml:space="preserve">603       </v>
      </c>
      <c r="B249" s="7" t="str">
        <f>"14        "</f>
        <v xml:space="preserve">14        </v>
      </c>
      <c r="C249" s="7" t="s">
        <v>10</v>
      </c>
      <c r="D249" s="7" t="s">
        <v>662</v>
      </c>
      <c r="E249" s="7" t="s">
        <v>340</v>
      </c>
      <c r="F249" s="7" t="s">
        <v>341</v>
      </c>
      <c r="G249" s="7" t="s">
        <v>340</v>
      </c>
      <c r="H249" s="7" t="s">
        <v>11</v>
      </c>
      <c r="I249" s="7" t="str">
        <f>"07060"</f>
        <v>07060</v>
      </c>
      <c r="J249" s="7">
        <v>1921</v>
      </c>
      <c r="K249" s="7">
        <v>0</v>
      </c>
      <c r="L249" s="8" t="s">
        <v>631</v>
      </c>
      <c r="M249" s="53" t="s">
        <v>637</v>
      </c>
      <c r="N249" s="9" t="s">
        <v>638</v>
      </c>
    </row>
    <row r="250" spans="1:17" x14ac:dyDescent="0.3">
      <c r="A250" s="7" t="str">
        <f t="shared" si="46"/>
        <v xml:space="preserve">603       </v>
      </c>
      <c r="B250" s="7" t="str">
        <f>"15        "</f>
        <v xml:space="preserve">15        </v>
      </c>
      <c r="C250" s="7" t="s">
        <v>10</v>
      </c>
      <c r="D250" s="7" t="s">
        <v>662</v>
      </c>
      <c r="E250" s="7" t="s">
        <v>342</v>
      </c>
      <c r="F250" s="7" t="s">
        <v>343</v>
      </c>
      <c r="G250" s="7" t="s">
        <v>344</v>
      </c>
      <c r="H250" s="7" t="s">
        <v>345</v>
      </c>
      <c r="I250" s="7" t="str">
        <f>"19709"</f>
        <v>19709</v>
      </c>
      <c r="J250" s="7">
        <v>0</v>
      </c>
      <c r="K250" s="7">
        <v>0</v>
      </c>
      <c r="L250" s="8" t="s">
        <v>631</v>
      </c>
      <c r="M250" s="53" t="s">
        <v>637</v>
      </c>
      <c r="N250" s="9" t="s">
        <v>638</v>
      </c>
    </row>
    <row r="251" spans="1:17" x14ac:dyDescent="0.3">
      <c r="A251" s="7" t="str">
        <f t="shared" ref="A251" si="47">"604       "</f>
        <v xml:space="preserve">604       </v>
      </c>
      <c r="B251" s="7" t="str">
        <f>"10        "</f>
        <v xml:space="preserve">10        </v>
      </c>
      <c r="C251" s="7" t="s">
        <v>10</v>
      </c>
      <c r="D251" s="7" t="s">
        <v>662</v>
      </c>
      <c r="E251" s="7" t="s">
        <v>346</v>
      </c>
      <c r="F251" s="7" t="s">
        <v>347</v>
      </c>
      <c r="G251" s="7" t="s">
        <v>348</v>
      </c>
      <c r="H251" s="7" t="s">
        <v>260</v>
      </c>
      <c r="I251" s="7" t="str">
        <f>"08816"</f>
        <v>08816</v>
      </c>
      <c r="J251" s="7">
        <v>1940</v>
      </c>
      <c r="K251" s="7">
        <v>0.185</v>
      </c>
      <c r="L251" s="8">
        <v>376998</v>
      </c>
      <c r="M251" s="53" t="s">
        <v>594</v>
      </c>
      <c r="N251" s="9"/>
    </row>
    <row r="252" spans="1:17" x14ac:dyDescent="0.3">
      <c r="A252" s="7" t="str">
        <f t="shared" ref="A252:A254" si="48">"606       "</f>
        <v xml:space="preserve">606       </v>
      </c>
      <c r="B252" s="7" t="str">
        <f>"3         "</f>
        <v xml:space="preserve">3         </v>
      </c>
      <c r="C252" s="7" t="s">
        <v>10</v>
      </c>
      <c r="D252" s="7" t="s">
        <v>662</v>
      </c>
      <c r="E252" s="7" t="s">
        <v>349</v>
      </c>
      <c r="F252" s="7" t="s">
        <v>350</v>
      </c>
      <c r="G252" s="7" t="s">
        <v>351</v>
      </c>
      <c r="H252" s="7" t="s">
        <v>124</v>
      </c>
      <c r="I252" s="7" t="str">
        <f>"08831"</f>
        <v>08831</v>
      </c>
      <c r="J252" s="7">
        <v>0</v>
      </c>
      <c r="K252" s="7">
        <v>0</v>
      </c>
      <c r="L252" s="8">
        <v>66386</v>
      </c>
      <c r="M252" s="8" t="s">
        <v>586</v>
      </c>
      <c r="N252" s="9"/>
    </row>
    <row r="253" spans="1:17" x14ac:dyDescent="0.3">
      <c r="A253" s="7" t="str">
        <f t="shared" si="48"/>
        <v xml:space="preserve">606       </v>
      </c>
      <c r="B253" s="7" t="str">
        <f>"18        "</f>
        <v xml:space="preserve">18        </v>
      </c>
      <c r="C253" s="7" t="s">
        <v>10</v>
      </c>
      <c r="D253" s="7" t="s">
        <v>662</v>
      </c>
      <c r="E253" s="7" t="s">
        <v>352</v>
      </c>
      <c r="F253" s="7" t="s">
        <v>353</v>
      </c>
      <c r="G253" s="7" t="s">
        <v>352</v>
      </c>
      <c r="H253" s="7" t="s">
        <v>11</v>
      </c>
      <c r="I253" s="7" t="str">
        <f>"07060"</f>
        <v>07060</v>
      </c>
      <c r="J253" s="7">
        <v>1921</v>
      </c>
      <c r="K253" s="7">
        <v>0</v>
      </c>
      <c r="L253" s="7"/>
      <c r="M253" s="8" t="s">
        <v>641</v>
      </c>
      <c r="N253" s="9"/>
    </row>
    <row r="254" spans="1:17" x14ac:dyDescent="0.3">
      <c r="A254" s="7" t="str">
        <f t="shared" si="48"/>
        <v xml:space="preserve">606       </v>
      </c>
      <c r="B254" s="7" t="str">
        <f>"25.01     "</f>
        <v xml:space="preserve">25.01     </v>
      </c>
      <c r="C254" s="7" t="s">
        <v>10</v>
      </c>
      <c r="D254" s="7" t="s">
        <v>662</v>
      </c>
      <c r="E254" s="7" t="s">
        <v>355</v>
      </c>
      <c r="F254" s="7" t="s">
        <v>354</v>
      </c>
      <c r="G254" s="7" t="s">
        <v>356</v>
      </c>
      <c r="H254" s="7" t="s">
        <v>19</v>
      </c>
      <c r="I254" s="7" t="str">
        <f>"07060"</f>
        <v>07060</v>
      </c>
      <c r="J254" s="7">
        <v>1965</v>
      </c>
      <c r="K254" s="7">
        <v>0.14120000999999999</v>
      </c>
      <c r="L254" s="7"/>
      <c r="M254" s="8" t="s">
        <v>641</v>
      </c>
      <c r="N254" s="9"/>
    </row>
    <row r="255" spans="1:17" x14ac:dyDescent="0.3">
      <c r="A255" s="7" t="str">
        <f>"611       "</f>
        <v xml:space="preserve">611       </v>
      </c>
      <c r="B255" s="7" t="str">
        <f>"1         "</f>
        <v xml:space="preserve">1         </v>
      </c>
      <c r="C255" s="7" t="s">
        <v>10</v>
      </c>
      <c r="D255" s="7" t="s">
        <v>662</v>
      </c>
      <c r="E255" s="7" t="s">
        <v>435</v>
      </c>
      <c r="F255" s="7" t="s">
        <v>436</v>
      </c>
      <c r="G255" s="7" t="s">
        <v>437</v>
      </c>
      <c r="H255" s="7" t="s">
        <v>438</v>
      </c>
      <c r="I255" s="7" t="str">
        <f>"07060"</f>
        <v>07060</v>
      </c>
      <c r="J255" s="7">
        <v>0</v>
      </c>
      <c r="K255" s="7">
        <v>0</v>
      </c>
      <c r="L255" s="8">
        <v>332267</v>
      </c>
      <c r="M255" s="7"/>
      <c r="N255" s="9" t="s">
        <v>639</v>
      </c>
    </row>
    <row r="256" spans="1:17" x14ac:dyDescent="0.3">
      <c r="A256" s="7" t="str">
        <f>"611       "</f>
        <v xml:space="preserve">611       </v>
      </c>
      <c r="B256" s="7" t="str">
        <f>"2         "</f>
        <v xml:space="preserve">2         </v>
      </c>
      <c r="C256" s="7" t="s">
        <v>10</v>
      </c>
      <c r="D256" s="7" t="s">
        <v>662</v>
      </c>
      <c r="E256" s="7" t="s">
        <v>439</v>
      </c>
      <c r="F256" s="7" t="s">
        <v>1102</v>
      </c>
      <c r="G256" s="7" t="s">
        <v>89</v>
      </c>
      <c r="H256" s="7" t="s">
        <v>87</v>
      </c>
      <c r="I256" s="7" t="str">
        <f>"08876"</f>
        <v>08876</v>
      </c>
      <c r="J256" s="7">
        <v>1910</v>
      </c>
      <c r="K256" s="7">
        <v>0</v>
      </c>
      <c r="L256" s="8" t="s">
        <v>1100</v>
      </c>
      <c r="M256" s="53" t="s">
        <v>1101</v>
      </c>
      <c r="N256" s="9" t="s">
        <v>640</v>
      </c>
    </row>
    <row r="257" spans="1:14" x14ac:dyDescent="0.3">
      <c r="A257" s="13" t="str">
        <f t="shared" ref="A257:A262" si="49">"612       "</f>
        <v xml:space="preserve">612       </v>
      </c>
      <c r="B257" s="13" t="str">
        <f>"5         "</f>
        <v xml:space="preserve">5         </v>
      </c>
      <c r="C257" s="7"/>
      <c r="D257" s="7" t="s">
        <v>662</v>
      </c>
      <c r="E257" s="14" t="s">
        <v>739</v>
      </c>
      <c r="F257" s="14" t="s">
        <v>32</v>
      </c>
      <c r="G257" s="14" t="s">
        <v>33</v>
      </c>
      <c r="H257" s="14" t="s">
        <v>19</v>
      </c>
      <c r="I257" s="14" t="str">
        <f>"07060"</f>
        <v>07060</v>
      </c>
      <c r="J257" s="14">
        <v>1950</v>
      </c>
      <c r="K257" s="14">
        <v>0</v>
      </c>
      <c r="L257" s="15">
        <v>439572</v>
      </c>
      <c r="M257" s="57" t="s">
        <v>1140</v>
      </c>
      <c r="N257" s="9"/>
    </row>
    <row r="258" spans="1:14" x14ac:dyDescent="0.3">
      <c r="A258" s="13" t="str">
        <f t="shared" si="49"/>
        <v xml:space="preserve">612       </v>
      </c>
      <c r="B258" s="13" t="str">
        <f>"7.01      "</f>
        <v xml:space="preserve">7.01      </v>
      </c>
      <c r="C258" s="7"/>
      <c r="D258" s="7" t="s">
        <v>662</v>
      </c>
      <c r="E258" s="14" t="s">
        <v>740</v>
      </c>
      <c r="F258" s="14" t="s">
        <v>32</v>
      </c>
      <c r="G258" s="14" t="s">
        <v>33</v>
      </c>
      <c r="H258" s="14" t="s">
        <v>11</v>
      </c>
      <c r="I258" s="14" t="str">
        <f>"07061"</f>
        <v>07061</v>
      </c>
      <c r="J258" s="14">
        <v>0</v>
      </c>
      <c r="K258" s="14">
        <v>0</v>
      </c>
      <c r="L258" s="15">
        <v>439572</v>
      </c>
      <c r="M258" s="57" t="s">
        <v>1140</v>
      </c>
      <c r="N258" s="9"/>
    </row>
    <row r="259" spans="1:14" x14ac:dyDescent="0.3">
      <c r="A259" s="13" t="str">
        <f t="shared" si="49"/>
        <v xml:space="preserve">612       </v>
      </c>
      <c r="B259" s="13" t="str">
        <f>"7.02      "</f>
        <v xml:space="preserve">7.02      </v>
      </c>
      <c r="C259" s="7"/>
      <c r="D259" s="7" t="s">
        <v>662</v>
      </c>
      <c r="E259" s="14" t="s">
        <v>741</v>
      </c>
      <c r="F259" s="14" t="s">
        <v>32</v>
      </c>
      <c r="G259" s="14" t="s">
        <v>45</v>
      </c>
      <c r="H259" s="14" t="s">
        <v>11</v>
      </c>
      <c r="I259" s="14" t="str">
        <f>"07061"</f>
        <v>07061</v>
      </c>
      <c r="J259" s="14" t="s">
        <v>25</v>
      </c>
      <c r="K259" s="14">
        <v>0</v>
      </c>
      <c r="L259" s="15">
        <v>439572</v>
      </c>
      <c r="M259" s="57" t="s">
        <v>1140</v>
      </c>
      <c r="N259" s="9"/>
    </row>
    <row r="260" spans="1:14" x14ac:dyDescent="0.3">
      <c r="A260" s="13" t="str">
        <f t="shared" si="49"/>
        <v xml:space="preserve">612       </v>
      </c>
      <c r="B260" s="13" t="str">
        <f>"7.03      "</f>
        <v xml:space="preserve">7.03      </v>
      </c>
      <c r="C260" s="7"/>
      <c r="D260" s="7" t="s">
        <v>662</v>
      </c>
      <c r="E260" s="14" t="s">
        <v>742</v>
      </c>
      <c r="F260" s="14" t="s">
        <v>32</v>
      </c>
      <c r="G260" s="14" t="s">
        <v>45</v>
      </c>
      <c r="H260" s="14" t="s">
        <v>11</v>
      </c>
      <c r="I260" s="14" t="str">
        <f>"07061"</f>
        <v>07061</v>
      </c>
      <c r="J260" s="14" t="s">
        <v>25</v>
      </c>
      <c r="K260" s="14">
        <v>0</v>
      </c>
      <c r="L260" s="15">
        <v>439572</v>
      </c>
      <c r="M260" s="57" t="s">
        <v>1140</v>
      </c>
      <c r="N260" s="9"/>
    </row>
    <row r="261" spans="1:14" x14ac:dyDescent="0.3">
      <c r="A261" s="13" t="str">
        <f t="shared" si="49"/>
        <v xml:space="preserve">612       </v>
      </c>
      <c r="B261" s="13" t="str">
        <f>"7.04      "</f>
        <v xml:space="preserve">7.04      </v>
      </c>
      <c r="C261" s="7"/>
      <c r="D261" s="7" t="s">
        <v>662</v>
      </c>
      <c r="E261" s="14" t="s">
        <v>743</v>
      </c>
      <c r="F261" s="14" t="s">
        <v>32</v>
      </c>
      <c r="G261" s="14" t="s">
        <v>45</v>
      </c>
      <c r="H261" s="14" t="s">
        <v>11</v>
      </c>
      <c r="I261" s="14" t="str">
        <f>"07061"</f>
        <v>07061</v>
      </c>
      <c r="J261" s="14" t="s">
        <v>25</v>
      </c>
      <c r="K261" s="14">
        <v>0</v>
      </c>
      <c r="L261" s="15">
        <v>439572</v>
      </c>
      <c r="M261" s="57" t="s">
        <v>1140</v>
      </c>
      <c r="N261" s="9"/>
    </row>
    <row r="262" spans="1:14" x14ac:dyDescent="0.3">
      <c r="A262" s="13" t="str">
        <f t="shared" si="49"/>
        <v xml:space="preserve">612       </v>
      </c>
      <c r="B262" s="13" t="str">
        <f>"8         "</f>
        <v xml:space="preserve">8         </v>
      </c>
      <c r="C262" s="7"/>
      <c r="D262" s="7" t="s">
        <v>662</v>
      </c>
      <c r="E262" s="14" t="s">
        <v>744</v>
      </c>
      <c r="F262" s="14" t="s">
        <v>747</v>
      </c>
      <c r="G262" s="14" t="s">
        <v>750</v>
      </c>
      <c r="H262" s="14" t="s">
        <v>19</v>
      </c>
      <c r="I262" s="14" t="str">
        <f>"07060"</f>
        <v>07060</v>
      </c>
      <c r="J262" s="14">
        <v>1927</v>
      </c>
      <c r="K262" s="14">
        <v>7.6200000000000004E-2</v>
      </c>
      <c r="L262" s="15"/>
      <c r="M262" s="15" t="s">
        <v>642</v>
      </c>
      <c r="N262" s="9"/>
    </row>
    <row r="263" spans="1:14" x14ac:dyDescent="0.3">
      <c r="A263" s="20">
        <v>613</v>
      </c>
      <c r="B263" s="20">
        <v>6</v>
      </c>
      <c r="C263" s="21"/>
      <c r="D263" s="21" t="s">
        <v>826</v>
      </c>
      <c r="E263" s="20" t="s">
        <v>922</v>
      </c>
      <c r="F263" s="22" t="s">
        <v>1049</v>
      </c>
      <c r="G263" s="20" t="s">
        <v>922</v>
      </c>
      <c r="H263" s="22" t="s">
        <v>266</v>
      </c>
      <c r="I263" s="22">
        <v>7060</v>
      </c>
      <c r="J263" s="22"/>
      <c r="K263" s="22"/>
      <c r="L263" s="23">
        <v>28251</v>
      </c>
      <c r="M263" s="56" t="s">
        <v>816</v>
      </c>
      <c r="N263" s="9"/>
    </row>
    <row r="264" spans="1:14" s="1" customFormat="1" x14ac:dyDescent="0.3">
      <c r="A264" s="20">
        <v>614</v>
      </c>
      <c r="B264" s="20" t="str">
        <f>"1         "</f>
        <v xml:space="preserve">1         </v>
      </c>
      <c r="C264" s="25"/>
      <c r="D264" s="25" t="s">
        <v>662</v>
      </c>
      <c r="E264" s="22" t="s">
        <v>745</v>
      </c>
      <c r="F264" s="22" t="s">
        <v>748</v>
      </c>
      <c r="G264" s="22" t="s">
        <v>751</v>
      </c>
      <c r="H264" s="22" t="s">
        <v>752</v>
      </c>
      <c r="I264" s="22" t="str">
        <f>"07060"</f>
        <v>07060</v>
      </c>
      <c r="J264" s="22">
        <v>1958</v>
      </c>
      <c r="K264" s="22">
        <v>0.23419999999999999</v>
      </c>
      <c r="L264" s="23">
        <v>25175</v>
      </c>
      <c r="M264" s="23" t="s">
        <v>755</v>
      </c>
      <c r="N264" s="29"/>
    </row>
    <row r="265" spans="1:14" x14ac:dyDescent="0.3">
      <c r="A265" s="13" t="str">
        <f t="shared" ref="A265" si="50">"614       "</f>
        <v xml:space="preserve">614       </v>
      </c>
      <c r="B265" s="13" t="str">
        <f>"5         "</f>
        <v xml:space="preserve">5         </v>
      </c>
      <c r="C265" s="7"/>
      <c r="D265" s="7" t="s">
        <v>662</v>
      </c>
      <c r="E265" s="14" t="s">
        <v>746</v>
      </c>
      <c r="F265" s="14" t="s">
        <v>749</v>
      </c>
      <c r="G265" s="14" t="s">
        <v>753</v>
      </c>
      <c r="H265" s="14" t="s">
        <v>754</v>
      </c>
      <c r="I265" s="14" t="str">
        <f>"07090"</f>
        <v>07090</v>
      </c>
      <c r="J265" s="14">
        <v>1986</v>
      </c>
      <c r="K265" s="14">
        <v>0.2306</v>
      </c>
      <c r="L265" s="14"/>
      <c r="M265" s="15" t="s">
        <v>642</v>
      </c>
      <c r="N265" s="9"/>
    </row>
    <row r="266" spans="1:14" s="64" customFormat="1" x14ac:dyDescent="0.3">
      <c r="A266" s="62">
        <v>615</v>
      </c>
      <c r="B266" s="62">
        <v>26</v>
      </c>
      <c r="C266" s="33"/>
      <c r="D266" s="33" t="s">
        <v>826</v>
      </c>
      <c r="E266" s="44" t="s">
        <v>836</v>
      </c>
      <c r="F266" s="44" t="s">
        <v>1050</v>
      </c>
      <c r="G266" s="44" t="s">
        <v>1051</v>
      </c>
      <c r="H266" s="44" t="s">
        <v>1053</v>
      </c>
      <c r="I266" s="44" t="s">
        <v>1056</v>
      </c>
      <c r="J266" s="44"/>
      <c r="K266" s="44"/>
      <c r="L266" s="35">
        <v>588831</v>
      </c>
      <c r="M266" s="35" t="s">
        <v>587</v>
      </c>
      <c r="N266" s="63"/>
    </row>
    <row r="267" spans="1:14" x14ac:dyDescent="0.3">
      <c r="A267" s="7" t="str">
        <f>"616       "</f>
        <v xml:space="preserve">616       </v>
      </c>
      <c r="B267" s="7" t="str">
        <f>"2         "</f>
        <v xml:space="preserve">2         </v>
      </c>
      <c r="C267" s="7" t="s">
        <v>10</v>
      </c>
      <c r="D267" s="7" t="s">
        <v>662</v>
      </c>
      <c r="E267" s="7" t="s">
        <v>360</v>
      </c>
      <c r="F267" s="7" t="s">
        <v>361</v>
      </c>
      <c r="G267" s="7" t="s">
        <v>251</v>
      </c>
      <c r="H267" s="7" t="s">
        <v>19</v>
      </c>
      <c r="I267" s="7" t="str">
        <f>"07060"</f>
        <v>07060</v>
      </c>
      <c r="J267" s="7">
        <v>1930</v>
      </c>
      <c r="K267" s="7">
        <v>0.34709999000000002</v>
      </c>
      <c r="L267" s="8">
        <v>229078</v>
      </c>
      <c r="M267" s="53" t="s">
        <v>594</v>
      </c>
      <c r="N267" s="9"/>
    </row>
    <row r="268" spans="1:14" x14ac:dyDescent="0.3">
      <c r="A268" s="7" t="str">
        <f>"616       "</f>
        <v xml:space="preserve">616       </v>
      </c>
      <c r="B268" s="7" t="str">
        <f>"5.01      "</f>
        <v xml:space="preserve">5.01      </v>
      </c>
      <c r="C268" s="7" t="s">
        <v>10</v>
      </c>
      <c r="D268" s="7" t="s">
        <v>662</v>
      </c>
      <c r="E268" s="7" t="s">
        <v>362</v>
      </c>
      <c r="F268" s="7" t="s">
        <v>363</v>
      </c>
      <c r="G268" s="7" t="s">
        <v>364</v>
      </c>
      <c r="H268" s="7" t="s">
        <v>365</v>
      </c>
      <c r="I268" s="7" t="str">
        <f>"60015"</f>
        <v>60015</v>
      </c>
      <c r="J268" s="7">
        <v>0</v>
      </c>
      <c r="K268" s="7">
        <v>0</v>
      </c>
      <c r="L268" s="8" t="s">
        <v>631</v>
      </c>
      <c r="M268" s="53" t="s">
        <v>633</v>
      </c>
      <c r="N268" s="9" t="s">
        <v>632</v>
      </c>
    </row>
    <row r="269" spans="1:14" x14ac:dyDescent="0.3">
      <c r="A269" s="13" t="str">
        <f t="shared" ref="A269" si="51">"617       "</f>
        <v xml:space="preserve">617       </v>
      </c>
      <c r="B269" s="13" t="str">
        <f>"25        "</f>
        <v xml:space="preserve">25        </v>
      </c>
      <c r="C269" s="7"/>
      <c r="D269" s="7" t="s">
        <v>662</v>
      </c>
      <c r="E269" s="14" t="s">
        <v>756</v>
      </c>
      <c r="F269" s="14" t="s">
        <v>767</v>
      </c>
      <c r="G269" s="14" t="s">
        <v>776</v>
      </c>
      <c r="H269" s="14" t="s">
        <v>19</v>
      </c>
      <c r="I269" s="14" t="str">
        <f>"07060"</f>
        <v>07060</v>
      </c>
      <c r="J269" s="14">
        <v>1911</v>
      </c>
      <c r="K269" s="14">
        <v>0</v>
      </c>
      <c r="L269" s="14"/>
      <c r="M269" s="15" t="s">
        <v>642</v>
      </c>
      <c r="N269" s="17"/>
    </row>
    <row r="270" spans="1:14" x14ac:dyDescent="0.3">
      <c r="A270" s="13" t="str">
        <f t="shared" ref="A270:A271" si="52">"620       "</f>
        <v xml:space="preserve">620       </v>
      </c>
      <c r="B270" s="13" t="str">
        <f>"1         "</f>
        <v xml:space="preserve">1         </v>
      </c>
      <c r="C270" s="7"/>
      <c r="D270" s="7" t="s">
        <v>662</v>
      </c>
      <c r="E270" s="14" t="s">
        <v>757</v>
      </c>
      <c r="F270" s="14" t="s">
        <v>768</v>
      </c>
      <c r="G270" s="14" t="s">
        <v>777</v>
      </c>
      <c r="H270" s="14" t="s">
        <v>778</v>
      </c>
      <c r="I270" s="14" t="str">
        <f>"33304"</f>
        <v>33304</v>
      </c>
      <c r="J270" s="14">
        <v>1925</v>
      </c>
      <c r="K270" s="14">
        <v>0</v>
      </c>
      <c r="L270" s="14"/>
      <c r="M270" s="15" t="s">
        <v>642</v>
      </c>
      <c r="N270" s="17"/>
    </row>
    <row r="271" spans="1:14" x14ac:dyDescent="0.3">
      <c r="A271" s="13" t="str">
        <f t="shared" si="52"/>
        <v xml:space="preserve">620       </v>
      </c>
      <c r="B271" s="13" t="str">
        <f>"6         "</f>
        <v xml:space="preserve">6         </v>
      </c>
      <c r="C271" s="7"/>
      <c r="D271" s="7" t="s">
        <v>662</v>
      </c>
      <c r="E271" s="14" t="s">
        <v>758</v>
      </c>
      <c r="F271" s="14" t="s">
        <v>769</v>
      </c>
      <c r="G271" s="14" t="s">
        <v>779</v>
      </c>
      <c r="H271" s="14" t="s">
        <v>780</v>
      </c>
      <c r="I271" s="14" t="str">
        <f>"07060"</f>
        <v>07060</v>
      </c>
      <c r="J271" s="14">
        <v>1955</v>
      </c>
      <c r="K271" s="14">
        <v>0.34439998999999999</v>
      </c>
      <c r="L271" s="14"/>
      <c r="M271" s="15" t="s">
        <v>642</v>
      </c>
      <c r="N271" s="17"/>
    </row>
    <row r="272" spans="1:14" x14ac:dyDescent="0.3">
      <c r="A272" s="13" t="str">
        <f t="shared" ref="A272:A274" si="53">"621       "</f>
        <v xml:space="preserve">621       </v>
      </c>
      <c r="B272" s="13" t="str">
        <f>"2         "</f>
        <v xml:space="preserve">2         </v>
      </c>
      <c r="C272" s="7"/>
      <c r="D272" s="7" t="s">
        <v>662</v>
      </c>
      <c r="E272" s="14" t="s">
        <v>759</v>
      </c>
      <c r="F272" s="14" t="s">
        <v>770</v>
      </c>
      <c r="G272" s="14" t="s">
        <v>781</v>
      </c>
      <c r="H272" s="14" t="s">
        <v>123</v>
      </c>
      <c r="I272" s="14" t="str">
        <f>"07083"</f>
        <v>07083</v>
      </c>
      <c r="J272" s="14">
        <v>0</v>
      </c>
      <c r="K272" s="14">
        <v>0.1802</v>
      </c>
      <c r="L272" s="15">
        <v>376309</v>
      </c>
      <c r="M272" s="15" t="s">
        <v>587</v>
      </c>
      <c r="N272" s="17" t="s">
        <v>789</v>
      </c>
    </row>
    <row r="273" spans="1:14" x14ac:dyDescent="0.3">
      <c r="A273" s="13">
        <v>621</v>
      </c>
      <c r="B273" s="13" t="str">
        <f>"3         "</f>
        <v xml:space="preserve">3         </v>
      </c>
      <c r="C273" s="7"/>
      <c r="D273" s="7" t="s">
        <v>662</v>
      </c>
      <c r="E273" s="14" t="s">
        <v>760</v>
      </c>
      <c r="F273" s="14" t="s">
        <v>771</v>
      </c>
      <c r="G273" s="14" t="s">
        <v>782</v>
      </c>
      <c r="H273" s="14" t="s">
        <v>783</v>
      </c>
      <c r="I273" s="14" t="str">
        <f>"08901"</f>
        <v>08901</v>
      </c>
      <c r="J273" s="14">
        <v>1966</v>
      </c>
      <c r="K273" s="14">
        <v>0.50010001999999998</v>
      </c>
      <c r="L273" s="15" t="s">
        <v>786</v>
      </c>
      <c r="M273" s="15" t="s">
        <v>790</v>
      </c>
      <c r="N273" s="17" t="s">
        <v>791</v>
      </c>
    </row>
    <row r="274" spans="1:14" x14ac:dyDescent="0.3">
      <c r="A274" s="13" t="str">
        <f t="shared" si="53"/>
        <v xml:space="preserve">621       </v>
      </c>
      <c r="B274" s="13" t="str">
        <f>"4         "</f>
        <v xml:space="preserve">4         </v>
      </c>
      <c r="C274" s="7"/>
      <c r="D274" s="7" t="s">
        <v>662</v>
      </c>
      <c r="E274" s="14" t="s">
        <v>761</v>
      </c>
      <c r="F274" s="14" t="s">
        <v>772</v>
      </c>
      <c r="G274" s="14" t="s">
        <v>784</v>
      </c>
      <c r="H274" s="14" t="s">
        <v>785</v>
      </c>
      <c r="I274" s="14" t="str">
        <f>"08869"</f>
        <v>08869</v>
      </c>
      <c r="J274" s="14">
        <v>2014</v>
      </c>
      <c r="K274" s="14">
        <v>0.91140001999999998</v>
      </c>
      <c r="L274" s="14"/>
      <c r="M274" s="15" t="s">
        <v>642</v>
      </c>
      <c r="N274" s="17"/>
    </row>
    <row r="275" spans="1:14" x14ac:dyDescent="0.3">
      <c r="A275" s="13">
        <v>621</v>
      </c>
      <c r="B275" s="13">
        <v>7</v>
      </c>
      <c r="C275" s="7"/>
      <c r="D275" s="7" t="s">
        <v>662</v>
      </c>
      <c r="E275" s="14" t="s">
        <v>762</v>
      </c>
      <c r="F275" s="14" t="s">
        <v>1052</v>
      </c>
      <c r="G275" s="14" t="s">
        <v>792</v>
      </c>
      <c r="H275" s="14" t="s">
        <v>831</v>
      </c>
      <c r="I275" s="14"/>
      <c r="J275" s="7"/>
      <c r="K275" s="7"/>
      <c r="L275" s="14"/>
      <c r="M275" s="15" t="s">
        <v>641</v>
      </c>
      <c r="N275" s="17" t="s">
        <v>792</v>
      </c>
    </row>
    <row r="276" spans="1:14" x14ac:dyDescent="0.3">
      <c r="A276" s="13">
        <v>622</v>
      </c>
      <c r="B276" s="13">
        <v>1</v>
      </c>
      <c r="C276" s="7"/>
      <c r="D276" s="7" t="s">
        <v>662</v>
      </c>
      <c r="E276" s="14" t="s">
        <v>763</v>
      </c>
      <c r="F276" s="14" t="s">
        <v>773</v>
      </c>
      <c r="G276" s="14"/>
      <c r="H276" s="14"/>
      <c r="I276" s="14"/>
      <c r="J276" s="7"/>
      <c r="K276" s="7"/>
      <c r="L276" s="15" t="s">
        <v>787</v>
      </c>
      <c r="M276" s="15" t="s">
        <v>793</v>
      </c>
      <c r="N276" s="17" t="s">
        <v>794</v>
      </c>
    </row>
    <row r="277" spans="1:14" x14ac:dyDescent="0.3">
      <c r="A277" s="13">
        <v>623</v>
      </c>
      <c r="B277" s="13">
        <v>1</v>
      </c>
      <c r="C277" s="7"/>
      <c r="D277" s="7" t="s">
        <v>662</v>
      </c>
      <c r="E277" s="14" t="s">
        <v>764</v>
      </c>
      <c r="F277" s="14" t="s">
        <v>774</v>
      </c>
      <c r="G277" s="14"/>
      <c r="H277" s="14"/>
      <c r="I277" s="14"/>
      <c r="J277" s="7"/>
      <c r="K277" s="7"/>
      <c r="L277" s="15" t="s">
        <v>788</v>
      </c>
      <c r="M277" s="15" t="s">
        <v>590</v>
      </c>
      <c r="N277" s="17"/>
    </row>
    <row r="278" spans="1:14" x14ac:dyDescent="0.3">
      <c r="A278" s="13">
        <v>623</v>
      </c>
      <c r="B278" s="13">
        <v>4</v>
      </c>
      <c r="C278" s="7"/>
      <c r="D278" s="7" t="s">
        <v>662</v>
      </c>
      <c r="E278" s="14" t="s">
        <v>765</v>
      </c>
      <c r="F278" s="14" t="s">
        <v>1054</v>
      </c>
      <c r="G278" s="14" t="s">
        <v>1055</v>
      </c>
      <c r="H278" s="14" t="s">
        <v>831</v>
      </c>
      <c r="I278" s="14"/>
      <c r="J278" s="7"/>
      <c r="K278" s="7"/>
      <c r="L278" s="15"/>
      <c r="M278" s="15" t="s">
        <v>641</v>
      </c>
      <c r="N278" s="17"/>
    </row>
    <row r="279" spans="1:14" x14ac:dyDescent="0.3">
      <c r="A279" s="13">
        <v>623</v>
      </c>
      <c r="B279" s="13">
        <v>6</v>
      </c>
      <c r="C279" s="7"/>
      <c r="D279" s="7" t="s">
        <v>662</v>
      </c>
      <c r="E279" s="14" t="s">
        <v>766</v>
      </c>
      <c r="F279" s="14" t="s">
        <v>775</v>
      </c>
      <c r="G279" s="14"/>
      <c r="H279" s="14"/>
      <c r="I279" s="14"/>
      <c r="J279" s="7"/>
      <c r="K279" s="7"/>
      <c r="L279" s="15">
        <v>839</v>
      </c>
      <c r="M279" s="56" t="s">
        <v>680</v>
      </c>
      <c r="N279" s="17"/>
    </row>
    <row r="280" spans="1:14" x14ac:dyDescent="0.3">
      <c r="A280" s="7" t="str">
        <f t="shared" ref="A280:A281" si="54">"624       "</f>
        <v xml:space="preserve">624       </v>
      </c>
      <c r="B280" s="7" t="str">
        <f>"7         "</f>
        <v xml:space="preserve">7         </v>
      </c>
      <c r="C280" s="7" t="s">
        <v>10</v>
      </c>
      <c r="D280" s="7" t="s">
        <v>662</v>
      </c>
      <c r="E280" s="7" t="s">
        <v>366</v>
      </c>
      <c r="F280" s="7" t="s">
        <v>367</v>
      </c>
      <c r="G280" s="7" t="s">
        <v>366</v>
      </c>
      <c r="H280" s="7" t="s">
        <v>11</v>
      </c>
      <c r="I280" s="7" t="str">
        <f>"07062"</f>
        <v>07062</v>
      </c>
      <c r="J280" s="7">
        <v>1984</v>
      </c>
      <c r="K280" s="7">
        <v>0</v>
      </c>
      <c r="L280" s="8">
        <v>224138</v>
      </c>
      <c r="M280" s="8" t="s">
        <v>587</v>
      </c>
      <c r="N280" s="9"/>
    </row>
    <row r="281" spans="1:14" x14ac:dyDescent="0.3">
      <c r="A281" s="7" t="str">
        <f t="shared" si="54"/>
        <v xml:space="preserve">624       </v>
      </c>
      <c r="B281" s="7" t="str">
        <f>"10        "</f>
        <v xml:space="preserve">10        </v>
      </c>
      <c r="C281" s="7" t="s">
        <v>10</v>
      </c>
      <c r="D281" s="7" t="s">
        <v>662</v>
      </c>
      <c r="E281" s="7" t="s">
        <v>795</v>
      </c>
      <c r="F281" s="7" t="s">
        <v>368</v>
      </c>
      <c r="G281" s="7" t="s">
        <v>369</v>
      </c>
      <c r="H281" s="7" t="s">
        <v>370</v>
      </c>
      <c r="I281" s="7" t="str">
        <f>"08904"</f>
        <v>08904</v>
      </c>
      <c r="J281" s="7">
        <v>0</v>
      </c>
      <c r="K281" s="7">
        <v>0</v>
      </c>
      <c r="L281" s="8" t="s">
        <v>606</v>
      </c>
      <c r="M281" s="53" t="s">
        <v>607</v>
      </c>
      <c r="N281" s="9"/>
    </row>
    <row r="282" spans="1:14" x14ac:dyDescent="0.3">
      <c r="A282" s="14" t="str">
        <f t="shared" ref="A282:A286" si="55">"625       "</f>
        <v xml:space="preserve">625       </v>
      </c>
      <c r="B282" s="14" t="str">
        <f>"1         "</f>
        <v xml:space="preserve">1         </v>
      </c>
      <c r="C282" s="7"/>
      <c r="D282" s="7" t="s">
        <v>662</v>
      </c>
      <c r="E282" s="14" t="s">
        <v>796</v>
      </c>
      <c r="F282" s="14" t="s">
        <v>801</v>
      </c>
      <c r="G282" s="14" t="s">
        <v>806</v>
      </c>
      <c r="H282" s="14" t="s">
        <v>807</v>
      </c>
      <c r="I282" s="14" t="str">
        <f>"08807"</f>
        <v>08807</v>
      </c>
      <c r="J282" s="14">
        <v>1975</v>
      </c>
      <c r="K282" s="14">
        <v>0</v>
      </c>
      <c r="L282" s="7"/>
      <c r="M282" s="15" t="s">
        <v>641</v>
      </c>
      <c r="N282" s="9"/>
    </row>
    <row r="283" spans="1:14" x14ac:dyDescent="0.3">
      <c r="A283" s="14" t="str">
        <f t="shared" si="55"/>
        <v xml:space="preserve">625       </v>
      </c>
      <c r="B283" s="14" t="str">
        <f>"14        "</f>
        <v xml:space="preserve">14        </v>
      </c>
      <c r="C283" s="7"/>
      <c r="D283" s="7" t="s">
        <v>662</v>
      </c>
      <c r="E283" s="14" t="s">
        <v>797</v>
      </c>
      <c r="F283" s="14" t="s">
        <v>802</v>
      </c>
      <c r="G283" s="14" t="s">
        <v>808</v>
      </c>
      <c r="H283" s="14" t="s">
        <v>809</v>
      </c>
      <c r="I283" s="14" t="str">
        <f>"07062"</f>
        <v>07062</v>
      </c>
      <c r="J283" s="14">
        <v>1967</v>
      </c>
      <c r="K283" s="14">
        <v>0.85170000999999995</v>
      </c>
      <c r="L283" s="15">
        <v>369380</v>
      </c>
      <c r="M283" s="15" t="s">
        <v>590</v>
      </c>
      <c r="N283" s="17"/>
    </row>
    <row r="284" spans="1:14" x14ac:dyDescent="0.3">
      <c r="A284" s="14" t="str">
        <f t="shared" si="55"/>
        <v xml:space="preserve">625       </v>
      </c>
      <c r="B284" s="14" t="str">
        <f>"15        "</f>
        <v xml:space="preserve">15        </v>
      </c>
      <c r="C284" s="7"/>
      <c r="D284" s="7" t="s">
        <v>662</v>
      </c>
      <c r="E284" s="14" t="s">
        <v>798</v>
      </c>
      <c r="F284" s="14" t="s">
        <v>803</v>
      </c>
      <c r="G284" s="14" t="s">
        <v>810</v>
      </c>
      <c r="H284" s="14" t="s">
        <v>811</v>
      </c>
      <c r="I284" s="14" t="str">
        <f>"11040"</f>
        <v>11040</v>
      </c>
      <c r="J284" s="14">
        <v>1998</v>
      </c>
      <c r="K284" s="14">
        <v>0</v>
      </c>
      <c r="L284" s="15">
        <v>13196</v>
      </c>
      <c r="M284" s="56" t="s">
        <v>816</v>
      </c>
      <c r="N284" s="17"/>
    </row>
    <row r="285" spans="1:14" x14ac:dyDescent="0.3">
      <c r="A285" s="14" t="str">
        <f t="shared" si="55"/>
        <v xml:space="preserve">625       </v>
      </c>
      <c r="B285" s="14" t="str">
        <f>"20        "</f>
        <v xml:space="preserve">20        </v>
      </c>
      <c r="C285" s="7"/>
      <c r="D285" s="7" t="s">
        <v>662</v>
      </c>
      <c r="E285" s="14" t="s">
        <v>799</v>
      </c>
      <c r="F285" s="14" t="s">
        <v>804</v>
      </c>
      <c r="G285" s="14" t="s">
        <v>812</v>
      </c>
      <c r="H285" s="14" t="s">
        <v>813</v>
      </c>
      <c r="I285" s="14" t="str">
        <f>"08904"</f>
        <v>08904</v>
      </c>
      <c r="J285" s="14">
        <v>1966</v>
      </c>
      <c r="K285" s="14">
        <v>0</v>
      </c>
      <c r="L285" s="15">
        <v>701309</v>
      </c>
      <c r="M285" s="15" t="s">
        <v>590</v>
      </c>
      <c r="N285" s="17" t="s">
        <v>817</v>
      </c>
    </row>
    <row r="286" spans="1:14" x14ac:dyDescent="0.3">
      <c r="A286" s="14" t="str">
        <f t="shared" si="55"/>
        <v xml:space="preserve">625       </v>
      </c>
      <c r="B286" s="14" t="str">
        <f>"34        "</f>
        <v xml:space="preserve">34        </v>
      </c>
      <c r="C286" s="7"/>
      <c r="D286" s="7" t="s">
        <v>662</v>
      </c>
      <c r="E286" s="14" t="s">
        <v>800</v>
      </c>
      <c r="F286" s="14" t="s">
        <v>805</v>
      </c>
      <c r="G286" s="14" t="s">
        <v>814</v>
      </c>
      <c r="H286" s="14" t="s">
        <v>815</v>
      </c>
      <c r="I286" s="14" t="str">
        <f>"75221"</f>
        <v>75221</v>
      </c>
      <c r="J286" s="14">
        <v>2010</v>
      </c>
      <c r="K286" s="14">
        <v>0.34439998999999999</v>
      </c>
      <c r="L286" s="15" t="s">
        <v>818</v>
      </c>
      <c r="M286" s="56" t="s">
        <v>585</v>
      </c>
      <c r="N286" s="17" t="s">
        <v>819</v>
      </c>
    </row>
    <row r="287" spans="1:14" s="5" customFormat="1" x14ac:dyDescent="0.3">
      <c r="A287" s="13">
        <v>625</v>
      </c>
      <c r="B287" s="13">
        <v>84</v>
      </c>
      <c r="C287" s="7"/>
      <c r="D287" s="7" t="s">
        <v>826</v>
      </c>
      <c r="E287" s="14" t="s">
        <v>857</v>
      </c>
      <c r="F287" s="14" t="s">
        <v>1057</v>
      </c>
      <c r="G287" s="14" t="s">
        <v>1058</v>
      </c>
      <c r="H287" s="14" t="s">
        <v>1059</v>
      </c>
      <c r="I287" s="14" t="s">
        <v>1060</v>
      </c>
      <c r="J287" s="14"/>
      <c r="K287" s="14"/>
      <c r="L287" s="15">
        <v>13185</v>
      </c>
      <c r="M287" s="15" t="s">
        <v>590</v>
      </c>
      <c r="N287" s="17" t="s">
        <v>858</v>
      </c>
    </row>
    <row r="288" spans="1:14" x14ac:dyDescent="0.3">
      <c r="A288" s="20">
        <v>626</v>
      </c>
      <c r="B288" s="20">
        <v>1</v>
      </c>
      <c r="C288" s="25"/>
      <c r="D288" s="25" t="s">
        <v>826</v>
      </c>
      <c r="E288" s="22" t="s">
        <v>833</v>
      </c>
      <c r="F288" s="22" t="s">
        <v>399</v>
      </c>
      <c r="G288" s="22" t="s">
        <v>835</v>
      </c>
      <c r="H288" s="22"/>
      <c r="I288" s="22"/>
      <c r="J288" s="22"/>
      <c r="K288" s="22"/>
      <c r="L288" s="23" t="s">
        <v>859</v>
      </c>
      <c r="M288" s="15" t="s">
        <v>860</v>
      </c>
      <c r="N288" s="24" t="s">
        <v>834</v>
      </c>
    </row>
    <row r="289" spans="1:14" x14ac:dyDescent="0.3">
      <c r="A289" s="20">
        <v>628</v>
      </c>
      <c r="B289" s="20">
        <v>16</v>
      </c>
      <c r="C289" s="25" t="s">
        <v>826</v>
      </c>
      <c r="D289" s="25"/>
      <c r="E289" s="22" t="s">
        <v>838</v>
      </c>
      <c r="F289" s="22" t="s">
        <v>1061</v>
      </c>
      <c r="G289" s="22" t="s">
        <v>838</v>
      </c>
      <c r="H289" s="22" t="s">
        <v>1062</v>
      </c>
      <c r="I289" s="22" t="s">
        <v>832</v>
      </c>
      <c r="J289" s="22"/>
      <c r="K289" s="22"/>
      <c r="L289" s="23">
        <v>557480</v>
      </c>
      <c r="M289" s="15" t="s">
        <v>587</v>
      </c>
      <c r="N289" s="17"/>
    </row>
    <row r="290" spans="1:14" x14ac:dyDescent="0.3">
      <c r="A290" s="20">
        <v>630</v>
      </c>
      <c r="B290" s="20">
        <v>31</v>
      </c>
      <c r="C290" s="25" t="s">
        <v>826</v>
      </c>
      <c r="D290" s="25"/>
      <c r="E290" s="22" t="s">
        <v>923</v>
      </c>
      <c r="F290" s="22" t="s">
        <v>1063</v>
      </c>
      <c r="G290" s="22" t="s">
        <v>923</v>
      </c>
      <c r="H290" s="22" t="s">
        <v>1062</v>
      </c>
      <c r="I290" s="22" t="s">
        <v>832</v>
      </c>
      <c r="J290" s="22"/>
      <c r="K290" s="22"/>
      <c r="L290" s="23"/>
      <c r="M290" s="15" t="s">
        <v>642</v>
      </c>
      <c r="N290" s="17"/>
    </row>
    <row r="291" spans="1:14" x14ac:dyDescent="0.3">
      <c r="A291" s="20">
        <v>634</v>
      </c>
      <c r="B291" s="20">
        <v>2</v>
      </c>
      <c r="C291" s="25"/>
      <c r="D291" s="25" t="s">
        <v>826</v>
      </c>
      <c r="E291" s="22" t="s">
        <v>924</v>
      </c>
      <c r="F291" s="22" t="s">
        <v>1064</v>
      </c>
      <c r="G291" s="22" t="s">
        <v>924</v>
      </c>
      <c r="H291" s="22" t="s">
        <v>1062</v>
      </c>
      <c r="I291" s="22" t="s">
        <v>832</v>
      </c>
      <c r="J291" s="22"/>
      <c r="K291" s="22"/>
      <c r="L291" s="23"/>
      <c r="M291" s="15" t="s">
        <v>641</v>
      </c>
      <c r="N291" s="17"/>
    </row>
    <row r="292" spans="1:14" x14ac:dyDescent="0.3">
      <c r="A292" s="7" t="str">
        <f t="shared" ref="A292:A296" si="56">"645       "</f>
        <v xml:space="preserve">645       </v>
      </c>
      <c r="B292" s="7" t="str">
        <f>"7         "</f>
        <v xml:space="preserve">7         </v>
      </c>
      <c r="C292" s="7" t="s">
        <v>10</v>
      </c>
      <c r="D292" s="7" t="s">
        <v>662</v>
      </c>
      <c r="E292" s="7" t="s">
        <v>371</v>
      </c>
      <c r="F292" s="7" t="s">
        <v>32</v>
      </c>
      <c r="G292" s="7" t="s">
        <v>33</v>
      </c>
      <c r="H292" s="7" t="s">
        <v>19</v>
      </c>
      <c r="I292" s="7" t="str">
        <f>"07061"</f>
        <v>07061</v>
      </c>
      <c r="J292" s="7">
        <v>1893</v>
      </c>
      <c r="K292" s="7">
        <v>0.1515</v>
      </c>
      <c r="L292" s="8">
        <v>40470</v>
      </c>
      <c r="M292" s="8" t="s">
        <v>608</v>
      </c>
      <c r="N292" s="9" t="s">
        <v>660</v>
      </c>
    </row>
    <row r="293" spans="1:14" x14ac:dyDescent="0.3">
      <c r="A293" s="7" t="str">
        <f t="shared" si="56"/>
        <v xml:space="preserve">645       </v>
      </c>
      <c r="B293" s="7" t="str">
        <f>"9         "</f>
        <v xml:space="preserve">9         </v>
      </c>
      <c r="C293" s="7" t="s">
        <v>10</v>
      </c>
      <c r="D293" s="7" t="s">
        <v>662</v>
      </c>
      <c r="E293" s="7" t="s">
        <v>372</v>
      </c>
      <c r="F293" s="7" t="s">
        <v>32</v>
      </c>
      <c r="G293" s="7" t="s">
        <v>33</v>
      </c>
      <c r="H293" s="7" t="s">
        <v>19</v>
      </c>
      <c r="I293" s="7" t="str">
        <f>"07061"</f>
        <v>07061</v>
      </c>
      <c r="J293" s="7">
        <v>1960</v>
      </c>
      <c r="K293" s="7">
        <v>0.1389</v>
      </c>
      <c r="L293" s="8">
        <v>40470</v>
      </c>
      <c r="M293" s="8" t="s">
        <v>608</v>
      </c>
      <c r="N293" s="9" t="s">
        <v>660</v>
      </c>
    </row>
    <row r="294" spans="1:14" x14ac:dyDescent="0.3">
      <c r="A294" s="7" t="str">
        <f t="shared" si="56"/>
        <v xml:space="preserve">645       </v>
      </c>
      <c r="B294" s="7" t="str">
        <f>"10        "</f>
        <v xml:space="preserve">10        </v>
      </c>
      <c r="C294" s="7" t="s">
        <v>10</v>
      </c>
      <c r="D294" s="7" t="s">
        <v>662</v>
      </c>
      <c r="E294" s="7" t="s">
        <v>373</v>
      </c>
      <c r="F294" s="7" t="s">
        <v>32</v>
      </c>
      <c r="G294" s="7" t="s">
        <v>45</v>
      </c>
      <c r="H294" s="7" t="s">
        <v>19</v>
      </c>
      <c r="I294" s="7" t="str">
        <f>"07061"</f>
        <v>07061</v>
      </c>
      <c r="J294" s="7">
        <v>1917</v>
      </c>
      <c r="K294" s="7">
        <v>0.125</v>
      </c>
      <c r="L294" s="8">
        <v>40470</v>
      </c>
      <c r="M294" s="8" t="s">
        <v>608</v>
      </c>
      <c r="N294" s="9" t="s">
        <v>660</v>
      </c>
    </row>
    <row r="295" spans="1:14" x14ac:dyDescent="0.3">
      <c r="A295" s="7" t="str">
        <f t="shared" si="56"/>
        <v xml:space="preserve">645       </v>
      </c>
      <c r="B295" s="7" t="str">
        <f>"11        "</f>
        <v xml:space="preserve">11        </v>
      </c>
      <c r="C295" s="7" t="s">
        <v>10</v>
      </c>
      <c r="D295" s="7" t="s">
        <v>662</v>
      </c>
      <c r="E295" s="7" t="s">
        <v>374</v>
      </c>
      <c r="F295" s="7" t="s">
        <v>32</v>
      </c>
      <c r="G295" s="7" t="s">
        <v>33</v>
      </c>
      <c r="H295" s="7" t="s">
        <v>19</v>
      </c>
      <c r="I295" s="7" t="str">
        <f>"07060"</f>
        <v>07060</v>
      </c>
      <c r="J295" s="7">
        <v>1950</v>
      </c>
      <c r="K295" s="7">
        <v>0</v>
      </c>
      <c r="L295" s="8">
        <v>40470</v>
      </c>
      <c r="M295" s="8" t="s">
        <v>608</v>
      </c>
      <c r="N295" s="9" t="s">
        <v>660</v>
      </c>
    </row>
    <row r="296" spans="1:14" x14ac:dyDescent="0.3">
      <c r="A296" s="7" t="str">
        <f t="shared" si="56"/>
        <v xml:space="preserve">645       </v>
      </c>
      <c r="B296" s="7" t="str">
        <f>"15        "</f>
        <v xml:space="preserve">15        </v>
      </c>
      <c r="C296" s="7" t="s">
        <v>10</v>
      </c>
      <c r="D296" s="7" t="s">
        <v>662</v>
      </c>
      <c r="E296" s="7" t="s">
        <v>376</v>
      </c>
      <c r="F296" s="7" t="s">
        <v>377</v>
      </c>
      <c r="G296" s="7" t="s">
        <v>375</v>
      </c>
      <c r="H296" s="7" t="s">
        <v>110</v>
      </c>
      <c r="I296" s="7" t="str">
        <f>"07208"</f>
        <v>07208</v>
      </c>
      <c r="J296" s="7">
        <v>1925</v>
      </c>
      <c r="K296" s="7">
        <v>0.99000001000000004</v>
      </c>
      <c r="L296" s="8">
        <v>480459</v>
      </c>
      <c r="M296" s="53" t="s">
        <v>816</v>
      </c>
      <c r="N296" s="9"/>
    </row>
    <row r="297" spans="1:14" x14ac:dyDescent="0.3">
      <c r="A297" s="7" t="str">
        <f t="shared" ref="A297" si="57">"704       "</f>
        <v xml:space="preserve">704       </v>
      </c>
      <c r="B297" s="7" t="str">
        <f>"2         "</f>
        <v xml:space="preserve">2         </v>
      </c>
      <c r="C297" s="7" t="s">
        <v>10</v>
      </c>
      <c r="D297" s="7" t="s">
        <v>662</v>
      </c>
      <c r="E297" s="7" t="s">
        <v>537</v>
      </c>
      <c r="F297" s="7" t="s">
        <v>32</v>
      </c>
      <c r="G297" s="7" t="s">
        <v>33</v>
      </c>
      <c r="H297" s="7" t="s">
        <v>19</v>
      </c>
      <c r="I297" s="7" t="str">
        <f>"07061"</f>
        <v>07061</v>
      </c>
      <c r="J297" s="7">
        <v>1966</v>
      </c>
      <c r="K297" s="7">
        <v>0</v>
      </c>
      <c r="L297" s="8">
        <v>546851</v>
      </c>
      <c r="M297" s="53" t="s">
        <v>609</v>
      </c>
      <c r="N297" s="9" t="s">
        <v>1130</v>
      </c>
    </row>
    <row r="298" spans="1:14" x14ac:dyDescent="0.3">
      <c r="A298" s="7" t="str">
        <f t="shared" ref="A298:A302" si="58">"705       "</f>
        <v xml:space="preserve">705       </v>
      </c>
      <c r="B298" s="7" t="str">
        <f>"1         "</f>
        <v xml:space="preserve">1         </v>
      </c>
      <c r="C298" s="7" t="s">
        <v>10</v>
      </c>
      <c r="D298" s="7" t="s">
        <v>662</v>
      </c>
      <c r="E298" s="7" t="s">
        <v>538</v>
      </c>
      <c r="F298" s="7" t="s">
        <v>539</v>
      </c>
      <c r="G298" s="7" t="s">
        <v>1090</v>
      </c>
      <c r="H298" s="7" t="s">
        <v>110</v>
      </c>
      <c r="I298" s="7" t="str">
        <f>"07208"</f>
        <v>07208</v>
      </c>
      <c r="J298" s="7">
        <v>0</v>
      </c>
      <c r="K298" s="7">
        <v>0.19</v>
      </c>
      <c r="L298" s="8" t="s">
        <v>1092</v>
      </c>
      <c r="M298" s="53" t="s">
        <v>816</v>
      </c>
      <c r="N298" s="9"/>
    </row>
    <row r="299" spans="1:14" x14ac:dyDescent="0.3">
      <c r="A299" s="7" t="str">
        <f t="shared" si="58"/>
        <v xml:space="preserve">705       </v>
      </c>
      <c r="B299" s="7" t="str">
        <f>"8         "</f>
        <v xml:space="preserve">8         </v>
      </c>
      <c r="C299" s="7" t="s">
        <v>10</v>
      </c>
      <c r="D299" s="7" t="s">
        <v>662</v>
      </c>
      <c r="E299" s="7" t="s">
        <v>540</v>
      </c>
      <c r="F299" s="7" t="s">
        <v>541</v>
      </c>
      <c r="G299" s="7" t="s">
        <v>197</v>
      </c>
      <c r="H299" s="7" t="s">
        <v>11</v>
      </c>
      <c r="I299" s="7" t="str">
        <f>"07060"</f>
        <v>07060</v>
      </c>
      <c r="J299" s="7">
        <v>0</v>
      </c>
      <c r="K299" s="7">
        <v>0</v>
      </c>
      <c r="L299" s="7"/>
      <c r="M299" s="8" t="s">
        <v>642</v>
      </c>
      <c r="N299" s="9"/>
    </row>
    <row r="300" spans="1:14" x14ac:dyDescent="0.3">
      <c r="A300" s="7" t="str">
        <f t="shared" si="58"/>
        <v xml:space="preserve">705       </v>
      </c>
      <c r="B300" s="7" t="str">
        <f>"9         "</f>
        <v xml:space="preserve">9         </v>
      </c>
      <c r="C300" s="7" t="s">
        <v>10</v>
      </c>
      <c r="D300" s="7" t="s">
        <v>662</v>
      </c>
      <c r="E300" s="7" t="s">
        <v>542</v>
      </c>
      <c r="F300" s="7" t="s">
        <v>543</v>
      </c>
      <c r="G300" s="7" t="s">
        <v>542</v>
      </c>
      <c r="H300" s="7" t="s">
        <v>11</v>
      </c>
      <c r="I300" s="7" t="str">
        <f>"07060"</f>
        <v>07060</v>
      </c>
      <c r="J300" s="7">
        <v>1972</v>
      </c>
      <c r="K300" s="7">
        <v>2.6599999999999999E-2</v>
      </c>
      <c r="L300" s="7"/>
      <c r="M300" s="8" t="s">
        <v>641</v>
      </c>
      <c r="N300" s="9"/>
    </row>
    <row r="301" spans="1:14" x14ac:dyDescent="0.3">
      <c r="A301" s="7" t="str">
        <f t="shared" si="58"/>
        <v xml:space="preserve">705       </v>
      </c>
      <c r="B301" s="7" t="str">
        <f>"10        "</f>
        <v xml:space="preserve">10        </v>
      </c>
      <c r="C301" s="7" t="s">
        <v>10</v>
      </c>
      <c r="D301" s="7" t="s">
        <v>662</v>
      </c>
      <c r="E301" s="7" t="s">
        <v>544</v>
      </c>
      <c r="F301" s="7" t="s">
        <v>545</v>
      </c>
      <c r="G301" s="7" t="s">
        <v>546</v>
      </c>
      <c r="H301" s="7" t="s">
        <v>547</v>
      </c>
      <c r="I301" s="7" t="str">
        <f>"07052"</f>
        <v>07052</v>
      </c>
      <c r="J301" s="7">
        <v>0</v>
      </c>
      <c r="K301" s="7">
        <v>0</v>
      </c>
      <c r="L301" s="7"/>
      <c r="M301" s="8" t="s">
        <v>641</v>
      </c>
      <c r="N301" s="9"/>
    </row>
    <row r="302" spans="1:14" x14ac:dyDescent="0.3">
      <c r="A302" s="7" t="str">
        <f t="shared" si="58"/>
        <v xml:space="preserve">705       </v>
      </c>
      <c r="B302" s="11">
        <v>11</v>
      </c>
      <c r="C302" s="7" t="s">
        <v>10</v>
      </c>
      <c r="D302" s="7" t="s">
        <v>662</v>
      </c>
      <c r="E302" s="7" t="s">
        <v>1089</v>
      </c>
      <c r="F302" s="7" t="s">
        <v>539</v>
      </c>
      <c r="G302" s="7" t="s">
        <v>1091</v>
      </c>
      <c r="H302" s="7" t="s">
        <v>110</v>
      </c>
      <c r="I302" s="7" t="str">
        <f>"07208"</f>
        <v>07208</v>
      </c>
      <c r="J302" s="7">
        <v>0</v>
      </c>
      <c r="K302" s="7">
        <v>0.19</v>
      </c>
      <c r="L302" s="8" t="s">
        <v>1092</v>
      </c>
      <c r="M302" s="53" t="s">
        <v>680</v>
      </c>
      <c r="N302" s="9"/>
    </row>
    <row r="303" spans="1:14" x14ac:dyDescent="0.3">
      <c r="A303" s="7" t="str">
        <f t="shared" ref="A303" si="59">"706       "</f>
        <v xml:space="preserve">706       </v>
      </c>
      <c r="B303" s="7" t="str">
        <f>"7         "</f>
        <v xml:space="preserve">7         </v>
      </c>
      <c r="C303" s="7" t="s">
        <v>10</v>
      </c>
      <c r="D303" s="7" t="s">
        <v>662</v>
      </c>
      <c r="E303" s="7" t="s">
        <v>548</v>
      </c>
      <c r="F303" s="7" t="s">
        <v>549</v>
      </c>
      <c r="G303" s="7" t="s">
        <v>550</v>
      </c>
      <c r="H303" s="7" t="s">
        <v>551</v>
      </c>
      <c r="I303" s="7" t="str">
        <f>"33326"</f>
        <v>33326</v>
      </c>
      <c r="J303" s="7">
        <v>1967</v>
      </c>
      <c r="K303" s="7">
        <v>0</v>
      </c>
      <c r="L303" s="8">
        <v>399993</v>
      </c>
      <c r="M303" s="53" t="s">
        <v>594</v>
      </c>
      <c r="N303" s="9" t="s">
        <v>616</v>
      </c>
    </row>
    <row r="304" spans="1:14" x14ac:dyDescent="0.3">
      <c r="A304" s="7" t="str">
        <f t="shared" ref="A304" si="60">"709       "</f>
        <v xml:space="preserve">709       </v>
      </c>
      <c r="B304" s="7" t="str">
        <f>"8         "</f>
        <v xml:space="preserve">8         </v>
      </c>
      <c r="C304" s="7" t="s">
        <v>10</v>
      </c>
      <c r="D304" s="7" t="s">
        <v>662</v>
      </c>
      <c r="E304" s="7" t="s">
        <v>552</v>
      </c>
      <c r="F304" s="7" t="s">
        <v>553</v>
      </c>
      <c r="G304" s="7" t="s">
        <v>552</v>
      </c>
      <c r="H304" s="7" t="s">
        <v>11</v>
      </c>
      <c r="I304" s="7" t="str">
        <f t="shared" ref="I304" si="61">"07060"</f>
        <v>07060</v>
      </c>
      <c r="J304" s="7">
        <v>1916</v>
      </c>
      <c r="K304" s="7">
        <v>0.15920000000000001</v>
      </c>
      <c r="L304" s="8">
        <v>361798</v>
      </c>
      <c r="M304" s="53" t="s">
        <v>594</v>
      </c>
      <c r="N304" s="9"/>
    </row>
    <row r="305" spans="1:14" x14ac:dyDescent="0.3">
      <c r="A305" s="7" t="str">
        <f t="shared" ref="A305" si="62">"710       "</f>
        <v xml:space="preserve">710       </v>
      </c>
      <c r="B305" s="7" t="str">
        <f>"7         "</f>
        <v xml:space="preserve">7         </v>
      </c>
      <c r="C305" s="7" t="s">
        <v>10</v>
      </c>
      <c r="D305" s="7" t="s">
        <v>662</v>
      </c>
      <c r="E305" s="7" t="s">
        <v>554</v>
      </c>
      <c r="F305" s="7" t="s">
        <v>555</v>
      </c>
      <c r="G305" s="7" t="s">
        <v>556</v>
      </c>
      <c r="H305" s="7" t="s">
        <v>357</v>
      </c>
      <c r="I305" s="7" t="str">
        <f>"11223"</f>
        <v>11223</v>
      </c>
      <c r="J305" s="7">
        <v>1928</v>
      </c>
      <c r="K305" s="7">
        <v>0</v>
      </c>
      <c r="L305" s="8">
        <v>79032</v>
      </c>
      <c r="M305" s="8" t="s">
        <v>586</v>
      </c>
      <c r="N305" s="9" t="s">
        <v>589</v>
      </c>
    </row>
    <row r="306" spans="1:14" x14ac:dyDescent="0.3">
      <c r="A306" s="11">
        <v>711</v>
      </c>
      <c r="B306" s="11">
        <v>2</v>
      </c>
      <c r="C306" s="11" t="s">
        <v>662</v>
      </c>
      <c r="D306" s="11"/>
      <c r="E306" s="14" t="s">
        <v>820</v>
      </c>
      <c r="F306" s="7" t="s">
        <v>926</v>
      </c>
      <c r="G306" s="7"/>
      <c r="H306" s="7"/>
      <c r="I306" s="7"/>
      <c r="J306" s="7"/>
      <c r="K306" s="7"/>
      <c r="L306" s="15">
        <v>452601</v>
      </c>
      <c r="M306" s="15" t="s">
        <v>590</v>
      </c>
      <c r="N306" s="17" t="s">
        <v>821</v>
      </c>
    </row>
    <row r="307" spans="1:14" x14ac:dyDescent="0.3">
      <c r="A307" s="7" t="str">
        <f>"712       "</f>
        <v xml:space="preserve">712       </v>
      </c>
      <c r="B307" s="7" t="str">
        <f>"1         "</f>
        <v xml:space="preserve">1         </v>
      </c>
      <c r="C307" s="7" t="s">
        <v>10</v>
      </c>
      <c r="D307" s="7" t="s">
        <v>662</v>
      </c>
      <c r="E307" s="7" t="s">
        <v>557</v>
      </c>
      <c r="F307" s="7" t="s">
        <v>558</v>
      </c>
      <c r="G307" s="7" t="s">
        <v>559</v>
      </c>
      <c r="H307" s="7" t="s">
        <v>560</v>
      </c>
      <c r="I307" s="7" t="str">
        <f>"08876"</f>
        <v>08876</v>
      </c>
      <c r="J307" s="7">
        <v>1980</v>
      </c>
      <c r="K307" s="7">
        <v>0</v>
      </c>
      <c r="L307" s="7"/>
      <c r="M307" s="8" t="s">
        <v>642</v>
      </c>
      <c r="N307" s="9"/>
    </row>
    <row r="308" spans="1:14" s="5" customFormat="1" x14ac:dyDescent="0.3">
      <c r="A308" s="11">
        <v>723</v>
      </c>
      <c r="B308" s="11">
        <v>11</v>
      </c>
      <c r="C308" s="7"/>
      <c r="D308" s="7" t="s">
        <v>826</v>
      </c>
      <c r="E308" s="11" t="s">
        <v>925</v>
      </c>
      <c r="F308" s="7" t="s">
        <v>1065</v>
      </c>
      <c r="G308" s="7" t="s">
        <v>1066</v>
      </c>
      <c r="H308" s="7" t="s">
        <v>1067</v>
      </c>
      <c r="I308" s="7">
        <v>14059</v>
      </c>
      <c r="J308" s="7"/>
      <c r="K308" s="7"/>
      <c r="L308" s="7"/>
      <c r="M308" s="15" t="s">
        <v>641</v>
      </c>
      <c r="N308" s="9"/>
    </row>
    <row r="309" spans="1:14" x14ac:dyDescent="0.3">
      <c r="A309" s="21">
        <v>723</v>
      </c>
      <c r="B309" s="21">
        <v>13.01</v>
      </c>
      <c r="C309" s="25" t="s">
        <v>826</v>
      </c>
      <c r="D309" s="25"/>
      <c r="E309" s="21" t="s">
        <v>927</v>
      </c>
      <c r="F309" s="25" t="s">
        <v>32</v>
      </c>
      <c r="G309" s="25" t="s">
        <v>675</v>
      </c>
      <c r="H309" s="25" t="s">
        <v>831</v>
      </c>
      <c r="I309" s="25" t="s">
        <v>832</v>
      </c>
      <c r="J309" s="25"/>
      <c r="K309" s="25"/>
      <c r="L309" s="25"/>
      <c r="M309" s="15" t="s">
        <v>590</v>
      </c>
      <c r="N309" s="9"/>
    </row>
    <row r="310" spans="1:14" x14ac:dyDescent="0.3">
      <c r="A310" s="21">
        <v>726</v>
      </c>
      <c r="B310" s="21">
        <v>2</v>
      </c>
      <c r="C310" s="25" t="s">
        <v>826</v>
      </c>
      <c r="D310" s="25"/>
      <c r="E310" s="25" t="s">
        <v>928</v>
      </c>
      <c r="F310" s="25" t="s">
        <v>929</v>
      </c>
      <c r="G310" s="25" t="s">
        <v>675</v>
      </c>
      <c r="H310" s="25" t="s">
        <v>831</v>
      </c>
      <c r="I310" s="25" t="s">
        <v>832</v>
      </c>
      <c r="J310" s="25"/>
      <c r="K310" s="25"/>
      <c r="L310" s="25"/>
      <c r="M310" s="15" t="s">
        <v>641</v>
      </c>
      <c r="N310" s="9"/>
    </row>
    <row r="311" spans="1:14" x14ac:dyDescent="0.3">
      <c r="A311" s="21">
        <v>756</v>
      </c>
      <c r="B311" s="21">
        <v>5</v>
      </c>
      <c r="C311" s="25" t="s">
        <v>826</v>
      </c>
      <c r="D311" s="25"/>
      <c r="E311" s="25" t="s">
        <v>930</v>
      </c>
      <c r="F311" s="25" t="s">
        <v>1068</v>
      </c>
      <c r="G311" s="25" t="s">
        <v>930</v>
      </c>
      <c r="H311" s="25" t="s">
        <v>19</v>
      </c>
      <c r="I311" s="25" t="str">
        <f t="shared" ref="I311" si="63">"07060"</f>
        <v>07060</v>
      </c>
      <c r="J311" s="25"/>
      <c r="K311" s="25"/>
      <c r="L311" s="26"/>
      <c r="M311" s="15" t="s">
        <v>642</v>
      </c>
      <c r="N311" s="9"/>
    </row>
    <row r="312" spans="1:14" x14ac:dyDescent="0.3">
      <c r="A312" s="21">
        <v>757</v>
      </c>
      <c r="B312" s="21">
        <v>15</v>
      </c>
      <c r="C312" s="25"/>
      <c r="D312" s="25" t="s">
        <v>826</v>
      </c>
      <c r="E312" s="25" t="s">
        <v>842</v>
      </c>
      <c r="F312" s="25" t="s">
        <v>1069</v>
      </c>
      <c r="G312" s="25" t="s">
        <v>842</v>
      </c>
      <c r="H312" s="25" t="s">
        <v>831</v>
      </c>
      <c r="I312" s="25" t="s">
        <v>832</v>
      </c>
      <c r="J312" s="25"/>
      <c r="K312" s="25"/>
      <c r="L312" s="26"/>
      <c r="M312" s="56" t="s">
        <v>592</v>
      </c>
      <c r="N312" s="16"/>
    </row>
    <row r="313" spans="1:14" x14ac:dyDescent="0.3">
      <c r="A313" s="7" t="str">
        <f t="shared" ref="A313:A314" si="64">"767       "</f>
        <v xml:space="preserve">767       </v>
      </c>
      <c r="B313" s="7" t="str">
        <f>"18        "</f>
        <v xml:space="preserve">18        </v>
      </c>
      <c r="C313" s="7" t="s">
        <v>10</v>
      </c>
      <c r="D313" s="7" t="s">
        <v>662</v>
      </c>
      <c r="E313" s="7" t="s">
        <v>563</v>
      </c>
      <c r="F313" s="7" t="s">
        <v>564</v>
      </c>
      <c r="G313" s="7" t="s">
        <v>563</v>
      </c>
      <c r="H313" s="7" t="s">
        <v>11</v>
      </c>
      <c r="I313" s="7" t="str">
        <f>"07063"</f>
        <v>07063</v>
      </c>
      <c r="J313" s="7">
        <v>1900</v>
      </c>
      <c r="K313" s="7">
        <v>0.50050002000000005</v>
      </c>
      <c r="L313" s="8">
        <v>448986</v>
      </c>
      <c r="M313" s="53" t="s">
        <v>591</v>
      </c>
      <c r="N313" s="29" t="s">
        <v>843</v>
      </c>
    </row>
    <row r="314" spans="1:14" x14ac:dyDescent="0.3">
      <c r="A314" s="7" t="str">
        <f t="shared" si="64"/>
        <v xml:space="preserve">767       </v>
      </c>
      <c r="B314" s="7" t="str">
        <f>"20        "</f>
        <v xml:space="preserve">20        </v>
      </c>
      <c r="C314" s="7" t="s">
        <v>10</v>
      </c>
      <c r="D314" s="7" t="s">
        <v>662</v>
      </c>
      <c r="E314" s="7" t="s">
        <v>565</v>
      </c>
      <c r="F314" s="7" t="s">
        <v>566</v>
      </c>
      <c r="G314" s="7" t="s">
        <v>567</v>
      </c>
      <c r="H314" s="7" t="s">
        <v>123</v>
      </c>
      <c r="I314" s="7" t="str">
        <f>"07083"</f>
        <v>07083</v>
      </c>
      <c r="J314" s="7">
        <v>0</v>
      </c>
      <c r="K314" s="7">
        <v>0.67959999999999998</v>
      </c>
      <c r="L314" s="7"/>
      <c r="M314" s="8" t="s">
        <v>641</v>
      </c>
      <c r="N314" s="9" t="s">
        <v>653</v>
      </c>
    </row>
    <row r="315" spans="1:14" x14ac:dyDescent="0.3">
      <c r="A315" s="7" t="str">
        <f t="shared" ref="A315:A316" si="65">"768       "</f>
        <v xml:space="preserve">768       </v>
      </c>
      <c r="B315" s="7" t="str">
        <f>"1.01      "</f>
        <v xml:space="preserve">1.01      </v>
      </c>
      <c r="C315" s="7" t="s">
        <v>10</v>
      </c>
      <c r="D315" s="7" t="s">
        <v>662</v>
      </c>
      <c r="E315" s="7" t="s">
        <v>568</v>
      </c>
      <c r="F315" s="7" t="s">
        <v>569</v>
      </c>
      <c r="G315" s="7" t="s">
        <v>570</v>
      </c>
      <c r="H315" s="7" t="s">
        <v>19</v>
      </c>
      <c r="I315" s="7" t="str">
        <f t="shared" ref="I315:I327" si="66">"07060"</f>
        <v>07060</v>
      </c>
      <c r="J315" s="7">
        <v>0</v>
      </c>
      <c r="K315" s="7">
        <v>0</v>
      </c>
      <c r="L315" s="7"/>
      <c r="M315" s="8" t="s">
        <v>642</v>
      </c>
      <c r="N315" s="9"/>
    </row>
    <row r="316" spans="1:14" x14ac:dyDescent="0.3">
      <c r="A316" s="7" t="str">
        <f t="shared" si="65"/>
        <v xml:space="preserve">768       </v>
      </c>
      <c r="B316" s="7" t="str">
        <f>"13        "</f>
        <v xml:space="preserve">13        </v>
      </c>
      <c r="C316" s="7" t="s">
        <v>10</v>
      </c>
      <c r="D316" s="7" t="s">
        <v>662</v>
      </c>
      <c r="E316" s="7" t="s">
        <v>571</v>
      </c>
      <c r="F316" s="7" t="s">
        <v>562</v>
      </c>
      <c r="G316" s="7" t="s">
        <v>561</v>
      </c>
      <c r="H316" s="7" t="s">
        <v>19</v>
      </c>
      <c r="I316" s="7" t="str">
        <f t="shared" si="66"/>
        <v>07060</v>
      </c>
      <c r="J316" s="7">
        <v>0</v>
      </c>
      <c r="K316" s="7">
        <v>1.7559000300000001</v>
      </c>
      <c r="L316" s="8">
        <v>459086</v>
      </c>
      <c r="M316" s="8" t="s">
        <v>590</v>
      </c>
      <c r="N316" s="9" t="s">
        <v>649</v>
      </c>
    </row>
    <row r="317" spans="1:14" x14ac:dyDescent="0.3">
      <c r="A317" s="7" t="str">
        <f t="shared" ref="A317" si="67">"770       "</f>
        <v xml:space="preserve">770       </v>
      </c>
      <c r="B317" s="7" t="str">
        <f>"5         "</f>
        <v xml:space="preserve">5         </v>
      </c>
      <c r="C317" s="7" t="s">
        <v>10</v>
      </c>
      <c r="D317" s="7" t="s">
        <v>662</v>
      </c>
      <c r="E317" s="7" t="s">
        <v>572</v>
      </c>
      <c r="F317" s="7" t="s">
        <v>573</v>
      </c>
      <c r="G317" s="7" t="s">
        <v>574</v>
      </c>
      <c r="H317" s="7" t="s">
        <v>11</v>
      </c>
      <c r="I317" s="7" t="str">
        <f t="shared" si="66"/>
        <v>07060</v>
      </c>
      <c r="J317" s="7">
        <v>1921</v>
      </c>
      <c r="K317" s="7">
        <v>0</v>
      </c>
      <c r="L317" s="7"/>
      <c r="M317" s="8" t="s">
        <v>641</v>
      </c>
      <c r="N317" s="9"/>
    </row>
    <row r="318" spans="1:14" x14ac:dyDescent="0.3">
      <c r="A318" s="7" t="str">
        <f t="shared" ref="A318" si="68">"772       "</f>
        <v xml:space="preserve">772       </v>
      </c>
      <c r="B318" s="7" t="str">
        <f>"25        "</f>
        <v xml:space="preserve">25        </v>
      </c>
      <c r="C318" s="7" t="s">
        <v>10</v>
      </c>
      <c r="D318" s="7" t="s">
        <v>662</v>
      </c>
      <c r="E318" s="7" t="s">
        <v>576</v>
      </c>
      <c r="F318" s="7" t="s">
        <v>575</v>
      </c>
      <c r="G318" s="7" t="s">
        <v>577</v>
      </c>
      <c r="H318" s="7" t="s">
        <v>11</v>
      </c>
      <c r="I318" s="7" t="str">
        <f t="shared" si="66"/>
        <v>07060</v>
      </c>
      <c r="J318" s="7">
        <v>0</v>
      </c>
      <c r="K318" s="7">
        <v>0.13959999000000001</v>
      </c>
      <c r="L318" s="7"/>
      <c r="M318" s="8" t="s">
        <v>641</v>
      </c>
      <c r="N318" s="9"/>
    </row>
    <row r="319" spans="1:14" x14ac:dyDescent="0.3">
      <c r="A319" s="21">
        <v>809</v>
      </c>
      <c r="B319" s="21">
        <v>26</v>
      </c>
      <c r="C319" s="25"/>
      <c r="D319" s="25" t="s">
        <v>826</v>
      </c>
      <c r="E319" s="25" t="s">
        <v>828</v>
      </c>
      <c r="F319" s="25" t="s">
        <v>1070</v>
      </c>
      <c r="G319" s="25" t="s">
        <v>828</v>
      </c>
      <c r="H319" s="25" t="s">
        <v>11</v>
      </c>
      <c r="I319" s="25" t="str">
        <f t="shared" si="66"/>
        <v>07060</v>
      </c>
      <c r="J319" s="25"/>
      <c r="K319" s="25"/>
      <c r="L319" s="26">
        <v>78827</v>
      </c>
      <c r="M319" s="8" t="s">
        <v>586</v>
      </c>
      <c r="N319" s="9"/>
    </row>
    <row r="320" spans="1:14" x14ac:dyDescent="0.3">
      <c r="A320" s="21">
        <v>811</v>
      </c>
      <c r="B320" s="21">
        <v>13</v>
      </c>
      <c r="C320" s="29" t="s">
        <v>826</v>
      </c>
      <c r="D320" s="29"/>
      <c r="E320" s="25" t="s">
        <v>931</v>
      </c>
      <c r="F320" s="25" t="s">
        <v>1071</v>
      </c>
      <c r="G320" s="25" t="s">
        <v>931</v>
      </c>
      <c r="H320" s="25" t="s">
        <v>11</v>
      </c>
      <c r="I320" s="25" t="str">
        <f t="shared" si="66"/>
        <v>07060</v>
      </c>
      <c r="J320" s="25"/>
      <c r="K320" s="25"/>
      <c r="L320" s="26"/>
      <c r="M320" s="15" t="s">
        <v>641</v>
      </c>
      <c r="N320" s="9"/>
    </row>
    <row r="321" spans="1:14" x14ac:dyDescent="0.3">
      <c r="A321" s="21">
        <v>812</v>
      </c>
      <c r="B321" s="21">
        <v>2</v>
      </c>
      <c r="C321" s="25"/>
      <c r="D321" s="25" t="s">
        <v>826</v>
      </c>
      <c r="E321" s="25" t="s">
        <v>839</v>
      </c>
      <c r="F321" s="25" t="s">
        <v>1072</v>
      </c>
      <c r="G321" s="25" t="s">
        <v>839</v>
      </c>
      <c r="H321" s="25" t="s">
        <v>676</v>
      </c>
      <c r="I321" s="25" t="s">
        <v>832</v>
      </c>
      <c r="J321" s="25"/>
      <c r="K321" s="25"/>
      <c r="L321" s="26" t="s">
        <v>840</v>
      </c>
      <c r="M321" s="53" t="s">
        <v>841</v>
      </c>
      <c r="N321" s="9"/>
    </row>
    <row r="322" spans="1:14" x14ac:dyDescent="0.3">
      <c r="A322" s="21">
        <v>813</v>
      </c>
      <c r="B322" s="21">
        <v>13</v>
      </c>
      <c r="C322" s="25" t="s">
        <v>826</v>
      </c>
      <c r="D322" s="25"/>
      <c r="E322" s="25" t="s">
        <v>829</v>
      </c>
      <c r="F322" s="25" t="s">
        <v>1073</v>
      </c>
      <c r="G322" s="25" t="s">
        <v>829</v>
      </c>
      <c r="H322" s="25" t="s">
        <v>11</v>
      </c>
      <c r="I322" s="25" t="str">
        <f t="shared" si="66"/>
        <v>07060</v>
      </c>
      <c r="J322" s="25"/>
      <c r="K322" s="25"/>
      <c r="L322" s="26">
        <v>517737</v>
      </c>
      <c r="M322" s="8" t="s">
        <v>586</v>
      </c>
      <c r="N322" s="9"/>
    </row>
    <row r="323" spans="1:14" x14ac:dyDescent="0.3">
      <c r="A323" s="21">
        <v>820</v>
      </c>
      <c r="B323" s="21">
        <v>6</v>
      </c>
      <c r="C323" s="25"/>
      <c r="D323" s="25" t="s">
        <v>826</v>
      </c>
      <c r="E323" s="25" t="s">
        <v>932</v>
      </c>
      <c r="F323" s="25" t="s">
        <v>1074</v>
      </c>
      <c r="G323" s="25" t="s">
        <v>932</v>
      </c>
      <c r="H323" s="25" t="s">
        <v>11</v>
      </c>
      <c r="I323" s="25" t="str">
        <f t="shared" si="66"/>
        <v>07060</v>
      </c>
      <c r="J323" s="25"/>
      <c r="K323" s="25"/>
      <c r="L323" s="26"/>
      <c r="M323" s="15" t="s">
        <v>641</v>
      </c>
      <c r="N323" s="9"/>
    </row>
    <row r="324" spans="1:14" x14ac:dyDescent="0.3">
      <c r="A324" s="21">
        <v>824</v>
      </c>
      <c r="B324" s="21">
        <v>24</v>
      </c>
      <c r="C324" s="25"/>
      <c r="D324" s="25" t="s">
        <v>826</v>
      </c>
      <c r="E324" s="25" t="s">
        <v>933</v>
      </c>
      <c r="F324" s="25" t="s">
        <v>936</v>
      </c>
      <c r="G324" s="25" t="s">
        <v>675</v>
      </c>
      <c r="H324" s="25" t="s">
        <v>11</v>
      </c>
      <c r="I324" s="25" t="str">
        <f t="shared" si="66"/>
        <v>07060</v>
      </c>
      <c r="J324" s="25"/>
      <c r="K324" s="25"/>
      <c r="L324" s="26"/>
      <c r="M324" s="23" t="s">
        <v>641</v>
      </c>
      <c r="N324" s="9"/>
    </row>
    <row r="325" spans="1:14" x14ac:dyDescent="0.3">
      <c r="A325" s="21">
        <v>824</v>
      </c>
      <c r="B325" s="21">
        <v>25</v>
      </c>
      <c r="C325" s="25"/>
      <c r="D325" s="25" t="s">
        <v>826</v>
      </c>
      <c r="E325" s="25" t="s">
        <v>934</v>
      </c>
      <c r="F325" s="25" t="s">
        <v>1075</v>
      </c>
      <c r="G325" s="25" t="s">
        <v>1076</v>
      </c>
      <c r="H325" s="25" t="s">
        <v>1077</v>
      </c>
      <c r="I325" s="25" t="s">
        <v>1078</v>
      </c>
      <c r="J325" s="25"/>
      <c r="K325" s="25"/>
      <c r="L325" s="26"/>
      <c r="M325" s="23" t="s">
        <v>641</v>
      </c>
      <c r="N325" s="9"/>
    </row>
    <row r="326" spans="1:14" x14ac:dyDescent="0.3">
      <c r="A326" s="21">
        <v>824</v>
      </c>
      <c r="B326" s="21">
        <v>26</v>
      </c>
      <c r="C326" s="25"/>
      <c r="D326" s="25" t="s">
        <v>826</v>
      </c>
      <c r="E326" s="25" t="s">
        <v>935</v>
      </c>
      <c r="F326" s="25" t="s">
        <v>936</v>
      </c>
      <c r="G326" s="25" t="s">
        <v>675</v>
      </c>
      <c r="H326" s="25" t="s">
        <v>11</v>
      </c>
      <c r="I326" s="25" t="str">
        <f t="shared" si="66"/>
        <v>07060</v>
      </c>
      <c r="J326" s="25"/>
      <c r="K326" s="25"/>
      <c r="L326" s="26"/>
      <c r="M326" s="23" t="s">
        <v>641</v>
      </c>
      <c r="N326" s="9"/>
    </row>
    <row r="327" spans="1:14" s="1" customFormat="1" x14ac:dyDescent="0.3">
      <c r="A327" s="25" t="str">
        <f t="shared" ref="A327" si="69">"826       "</f>
        <v xml:space="preserve">826       </v>
      </c>
      <c r="B327" s="25" t="str">
        <f>"15        "</f>
        <v xml:space="preserve">15        </v>
      </c>
      <c r="C327" s="25" t="s">
        <v>10</v>
      </c>
      <c r="D327" s="25" t="s">
        <v>662</v>
      </c>
      <c r="E327" s="25" t="s">
        <v>578</v>
      </c>
      <c r="F327" s="25" t="s">
        <v>579</v>
      </c>
      <c r="G327" s="25" t="s">
        <v>578</v>
      </c>
      <c r="H327" s="25" t="s">
        <v>11</v>
      </c>
      <c r="I327" s="25" t="str">
        <f t="shared" si="66"/>
        <v>07060</v>
      </c>
      <c r="J327" s="25">
        <v>1921</v>
      </c>
      <c r="K327" s="25">
        <v>0</v>
      </c>
      <c r="L327" s="25"/>
      <c r="M327" s="26" t="s">
        <v>641</v>
      </c>
      <c r="N327" s="29"/>
    </row>
    <row r="328" spans="1:14" x14ac:dyDescent="0.3">
      <c r="A328" s="42">
        <v>832</v>
      </c>
      <c r="B328" s="42">
        <v>2</v>
      </c>
      <c r="C328" s="45"/>
      <c r="D328" s="45" t="s">
        <v>1108</v>
      </c>
      <c r="E328" s="45" t="s">
        <v>1109</v>
      </c>
      <c r="F328" s="45" t="s">
        <v>1110</v>
      </c>
      <c r="G328" s="45" t="s">
        <v>45</v>
      </c>
      <c r="H328" s="45" t="s">
        <v>831</v>
      </c>
      <c r="I328" s="45">
        <v>7060</v>
      </c>
      <c r="J328" s="45"/>
      <c r="K328" s="45"/>
      <c r="L328" s="45"/>
      <c r="M328" s="47" t="s">
        <v>1124</v>
      </c>
      <c r="N328" s="48" t="s">
        <v>1104</v>
      </c>
    </row>
    <row r="329" spans="1:14" x14ac:dyDescent="0.3">
      <c r="A329" s="7" t="str">
        <f t="shared" ref="A329:A342" si="70">"836       "</f>
        <v xml:space="preserve">836       </v>
      </c>
      <c r="B329" s="7" t="str">
        <f>"1         "</f>
        <v xml:space="preserve">1         </v>
      </c>
      <c r="C329" s="7" t="s">
        <v>10</v>
      </c>
      <c r="D329" s="7" t="s">
        <v>662</v>
      </c>
      <c r="E329" s="7" t="s">
        <v>440</v>
      </c>
      <c r="F329" s="7" t="s">
        <v>441</v>
      </c>
      <c r="G329" s="7" t="s">
        <v>442</v>
      </c>
      <c r="H329" s="7" t="s">
        <v>110</v>
      </c>
      <c r="I329" s="7" t="str">
        <f>"07208"</f>
        <v>07208</v>
      </c>
      <c r="J329" s="7">
        <v>1910</v>
      </c>
      <c r="K329" s="7">
        <v>0.18269999000000001</v>
      </c>
      <c r="L329" s="8">
        <v>55284</v>
      </c>
      <c r="M329" s="8" t="s">
        <v>652</v>
      </c>
      <c r="N329" s="9"/>
    </row>
    <row r="330" spans="1:14" x14ac:dyDescent="0.3">
      <c r="A330" s="7" t="str">
        <f t="shared" si="70"/>
        <v xml:space="preserve">836       </v>
      </c>
      <c r="B330" s="7" t="str">
        <f>"3         "</f>
        <v xml:space="preserve">3         </v>
      </c>
      <c r="C330" s="7" t="s">
        <v>10</v>
      </c>
      <c r="D330" s="7" t="s">
        <v>662</v>
      </c>
      <c r="E330" s="7" t="s">
        <v>443</v>
      </c>
      <c r="F330" s="7" t="s">
        <v>272</v>
      </c>
      <c r="G330" s="7" t="s">
        <v>206</v>
      </c>
      <c r="H330" s="7" t="s">
        <v>359</v>
      </c>
      <c r="I330" s="7" t="str">
        <f>"07023"</f>
        <v>07023</v>
      </c>
      <c r="J330" s="7">
        <v>1924</v>
      </c>
      <c r="K330" s="7">
        <v>0.32260000999999999</v>
      </c>
      <c r="L330" s="8" t="s">
        <v>631</v>
      </c>
      <c r="M330" s="53" t="s">
        <v>651</v>
      </c>
      <c r="N330" s="9"/>
    </row>
    <row r="331" spans="1:14" s="1" customFormat="1" x14ac:dyDescent="0.3">
      <c r="A331" s="25" t="str">
        <f t="shared" si="70"/>
        <v xml:space="preserve">836       </v>
      </c>
      <c r="B331" s="25" t="str">
        <f>"4         "</f>
        <v xml:space="preserve">4         </v>
      </c>
      <c r="C331" s="25" t="s">
        <v>10</v>
      </c>
      <c r="D331" s="25" t="s">
        <v>662</v>
      </c>
      <c r="E331" s="25" t="s">
        <v>444</v>
      </c>
      <c r="F331" s="25" t="s">
        <v>445</v>
      </c>
      <c r="G331" s="25" t="s">
        <v>446</v>
      </c>
      <c r="H331" s="25" t="s">
        <v>11</v>
      </c>
      <c r="I331" s="25" t="str">
        <f>"07061"</f>
        <v>07061</v>
      </c>
      <c r="J331" s="25">
        <v>0</v>
      </c>
      <c r="K331" s="25">
        <v>7.2300000000000003E-2</v>
      </c>
      <c r="L331" s="26" t="s">
        <v>631</v>
      </c>
      <c r="M331" s="26" t="s">
        <v>637</v>
      </c>
      <c r="N331" s="29" t="s">
        <v>638</v>
      </c>
    </row>
    <row r="332" spans="1:14" s="1" customFormat="1" x14ac:dyDescent="0.3">
      <c r="A332" s="25" t="str">
        <f t="shared" si="70"/>
        <v xml:space="preserve">836       </v>
      </c>
      <c r="B332" s="25" t="str">
        <f>"5         "</f>
        <v xml:space="preserve">5         </v>
      </c>
      <c r="C332" s="25" t="s">
        <v>10</v>
      </c>
      <c r="D332" s="25" t="s">
        <v>662</v>
      </c>
      <c r="E332" s="25" t="s">
        <v>447</v>
      </c>
      <c r="F332" s="25" t="s">
        <v>448</v>
      </c>
      <c r="G332" s="25" t="s">
        <v>449</v>
      </c>
      <c r="H332" s="25" t="s">
        <v>11</v>
      </c>
      <c r="I332" s="25" t="str">
        <f>"07061"</f>
        <v>07061</v>
      </c>
      <c r="J332" s="25">
        <v>1910</v>
      </c>
      <c r="K332" s="25">
        <v>0.16410000999999999</v>
      </c>
      <c r="L332" s="26" t="s">
        <v>631</v>
      </c>
      <c r="M332" s="26" t="s">
        <v>637</v>
      </c>
      <c r="N332" s="29" t="s">
        <v>638</v>
      </c>
    </row>
    <row r="333" spans="1:14" x14ac:dyDescent="0.3">
      <c r="A333" s="7" t="str">
        <f t="shared" si="70"/>
        <v xml:space="preserve">836       </v>
      </c>
      <c r="B333" s="7" t="str">
        <f>"6         "</f>
        <v xml:space="preserve">6         </v>
      </c>
      <c r="C333" s="7" t="s">
        <v>10</v>
      </c>
      <c r="D333" s="7" t="s">
        <v>662</v>
      </c>
      <c r="E333" s="7" t="s">
        <v>450</v>
      </c>
      <c r="F333" s="7" t="s">
        <v>451</v>
      </c>
      <c r="G333" s="7" t="s">
        <v>452</v>
      </c>
      <c r="H333" s="7" t="s">
        <v>65</v>
      </c>
      <c r="I333" s="7" t="str">
        <f>"08873"</f>
        <v>08873</v>
      </c>
      <c r="J333" s="7">
        <v>1900</v>
      </c>
      <c r="K333" s="7">
        <v>0</v>
      </c>
      <c r="L333" s="8" t="s">
        <v>631</v>
      </c>
      <c r="M333" s="53" t="s">
        <v>637</v>
      </c>
      <c r="N333" s="9" t="s">
        <v>638</v>
      </c>
    </row>
    <row r="334" spans="1:14" x14ac:dyDescent="0.3">
      <c r="A334" s="7" t="str">
        <f t="shared" si="70"/>
        <v xml:space="preserve">836       </v>
      </c>
      <c r="B334" s="7" t="str">
        <f>"7         "</f>
        <v xml:space="preserve">7         </v>
      </c>
      <c r="C334" s="7" t="s">
        <v>10</v>
      </c>
      <c r="D334" s="7" t="s">
        <v>662</v>
      </c>
      <c r="E334" s="7" t="s">
        <v>453</v>
      </c>
      <c r="F334" s="7" t="s">
        <v>454</v>
      </c>
      <c r="G334" s="7" t="s">
        <v>148</v>
      </c>
      <c r="H334" s="7" t="s">
        <v>110</v>
      </c>
      <c r="I334" s="7" t="str">
        <f>"07208"</f>
        <v>07208</v>
      </c>
      <c r="J334" s="7">
        <v>1909</v>
      </c>
      <c r="K334" s="7">
        <v>0</v>
      </c>
      <c r="L334" s="8" t="s">
        <v>631</v>
      </c>
      <c r="M334" s="53" t="s">
        <v>637</v>
      </c>
      <c r="N334" s="9" t="s">
        <v>638</v>
      </c>
    </row>
    <row r="335" spans="1:14" x14ac:dyDescent="0.3">
      <c r="A335" s="7" t="str">
        <f t="shared" si="70"/>
        <v xml:space="preserve">836       </v>
      </c>
      <c r="B335" s="7" t="str">
        <f>"8         "</f>
        <v xml:space="preserve">8         </v>
      </c>
      <c r="C335" s="7" t="s">
        <v>10</v>
      </c>
      <c r="D335" s="7" t="s">
        <v>662</v>
      </c>
      <c r="E335" s="7" t="s">
        <v>455</v>
      </c>
      <c r="F335" s="7" t="s">
        <v>456</v>
      </c>
      <c r="G335" s="7" t="s">
        <v>457</v>
      </c>
      <c r="H335" s="7" t="s">
        <v>458</v>
      </c>
      <c r="I335" s="7" t="str">
        <f>"32246"</f>
        <v>32246</v>
      </c>
      <c r="J335" s="7">
        <v>1924</v>
      </c>
      <c r="K335" s="7">
        <v>0</v>
      </c>
      <c r="L335" s="8" t="s">
        <v>631</v>
      </c>
      <c r="M335" s="53" t="s">
        <v>637</v>
      </c>
      <c r="N335" s="9" t="s">
        <v>638</v>
      </c>
    </row>
    <row r="336" spans="1:14" x14ac:dyDescent="0.3">
      <c r="A336" s="7" t="str">
        <f t="shared" si="70"/>
        <v xml:space="preserve">836       </v>
      </c>
      <c r="B336" s="7" t="str">
        <f>"9         "</f>
        <v xml:space="preserve">9         </v>
      </c>
      <c r="C336" s="7" t="s">
        <v>10</v>
      </c>
      <c r="D336" s="7" t="s">
        <v>662</v>
      </c>
      <c r="E336" s="7" t="s">
        <v>459</v>
      </c>
      <c r="F336" s="7" t="s">
        <v>460</v>
      </c>
      <c r="G336" s="7" t="s">
        <v>461</v>
      </c>
      <c r="H336" s="7" t="s">
        <v>19</v>
      </c>
      <c r="I336" s="7" t="str">
        <f>"07060"</f>
        <v>07060</v>
      </c>
      <c r="J336" s="7">
        <v>1906</v>
      </c>
      <c r="K336" s="7">
        <v>0</v>
      </c>
      <c r="L336" s="8" t="s">
        <v>631</v>
      </c>
      <c r="M336" s="53" t="s">
        <v>637</v>
      </c>
      <c r="N336" s="9" t="s">
        <v>638</v>
      </c>
    </row>
    <row r="337" spans="1:14" x14ac:dyDescent="0.3">
      <c r="A337" s="7" t="str">
        <f t="shared" si="70"/>
        <v xml:space="preserve">836       </v>
      </c>
      <c r="B337" s="7" t="str">
        <f>"10        "</f>
        <v xml:space="preserve">10        </v>
      </c>
      <c r="C337" s="7" t="s">
        <v>10</v>
      </c>
      <c r="D337" s="7" t="s">
        <v>662</v>
      </c>
      <c r="E337" s="7" t="s">
        <v>462</v>
      </c>
      <c r="F337" s="7" t="s">
        <v>463</v>
      </c>
      <c r="G337" s="7" t="s">
        <v>464</v>
      </c>
      <c r="H337" s="7" t="s">
        <v>11</v>
      </c>
      <c r="I337" s="7" t="str">
        <f>"07060"</f>
        <v>07060</v>
      </c>
      <c r="J337" s="7">
        <v>0</v>
      </c>
      <c r="K337" s="7">
        <v>0</v>
      </c>
      <c r="L337" s="8" t="s">
        <v>631</v>
      </c>
      <c r="M337" s="53" t="s">
        <v>650</v>
      </c>
      <c r="N337" s="9" t="s">
        <v>638</v>
      </c>
    </row>
    <row r="338" spans="1:14" x14ac:dyDescent="0.3">
      <c r="A338" s="7" t="str">
        <f t="shared" si="70"/>
        <v xml:space="preserve">836       </v>
      </c>
      <c r="B338" s="7" t="str">
        <f>"11        "</f>
        <v xml:space="preserve">11        </v>
      </c>
      <c r="C338" s="7" t="s">
        <v>10</v>
      </c>
      <c r="D338" s="7" t="s">
        <v>662</v>
      </c>
      <c r="E338" s="7" t="s">
        <v>465</v>
      </c>
      <c r="F338" s="7" t="s">
        <v>466</v>
      </c>
      <c r="G338" s="7" t="s">
        <v>467</v>
      </c>
      <c r="H338" s="7" t="s">
        <v>11</v>
      </c>
      <c r="I338" s="7" t="str">
        <f>"07060"</f>
        <v>07060</v>
      </c>
      <c r="J338" s="7">
        <v>1935</v>
      </c>
      <c r="K338" s="7">
        <v>0</v>
      </c>
      <c r="L338" s="8" t="s">
        <v>631</v>
      </c>
      <c r="M338" s="53" t="s">
        <v>650</v>
      </c>
      <c r="N338" s="9" t="s">
        <v>638</v>
      </c>
    </row>
    <row r="339" spans="1:14" x14ac:dyDescent="0.3">
      <c r="A339" s="7" t="str">
        <f>"836       "</f>
        <v xml:space="preserve">836       </v>
      </c>
      <c r="B339" s="7" t="str">
        <f>"12        "</f>
        <v xml:space="preserve">12        </v>
      </c>
      <c r="C339" s="7" t="s">
        <v>10</v>
      </c>
      <c r="D339" s="7" t="s">
        <v>662</v>
      </c>
      <c r="E339" s="7" t="s">
        <v>468</v>
      </c>
      <c r="F339" s="7" t="s">
        <v>463</v>
      </c>
      <c r="G339" s="7" t="s">
        <v>469</v>
      </c>
      <c r="H339" s="7" t="s">
        <v>19</v>
      </c>
      <c r="I339" s="7" t="str">
        <f>"07062"</f>
        <v>07062</v>
      </c>
      <c r="J339" s="7">
        <v>1910</v>
      </c>
      <c r="K339" s="7">
        <v>0</v>
      </c>
      <c r="L339" s="8" t="s">
        <v>631</v>
      </c>
      <c r="M339" s="53" t="s">
        <v>637</v>
      </c>
      <c r="N339" s="9" t="s">
        <v>638</v>
      </c>
    </row>
    <row r="340" spans="1:14" x14ac:dyDescent="0.3">
      <c r="A340" s="7" t="str">
        <f t="shared" si="70"/>
        <v xml:space="preserve">836       </v>
      </c>
      <c r="B340" s="7" t="str">
        <f>"13        "</f>
        <v xml:space="preserve">13        </v>
      </c>
      <c r="C340" s="7" t="s">
        <v>10</v>
      </c>
      <c r="D340" s="7" t="s">
        <v>662</v>
      </c>
      <c r="E340" s="7" t="s">
        <v>470</v>
      </c>
      <c r="F340" s="7" t="s">
        <v>471</v>
      </c>
      <c r="G340" s="7" t="s">
        <v>472</v>
      </c>
      <c r="H340" s="7" t="s">
        <v>473</v>
      </c>
      <c r="I340" s="7" t="str">
        <f>"08844"</f>
        <v>08844</v>
      </c>
      <c r="J340" s="7">
        <v>1910</v>
      </c>
      <c r="K340" s="7">
        <v>0.17219999</v>
      </c>
      <c r="L340" s="8" t="s">
        <v>631</v>
      </c>
      <c r="M340" s="53" t="s">
        <v>637</v>
      </c>
      <c r="N340" s="9" t="s">
        <v>638</v>
      </c>
    </row>
    <row r="341" spans="1:14" x14ac:dyDescent="0.3">
      <c r="A341" s="7" t="str">
        <f t="shared" si="70"/>
        <v xml:space="preserve">836       </v>
      </c>
      <c r="B341" s="7" t="str">
        <f>"14        "</f>
        <v xml:space="preserve">14        </v>
      </c>
      <c r="C341" s="7" t="s">
        <v>10</v>
      </c>
      <c r="D341" s="7" t="s">
        <v>662</v>
      </c>
      <c r="E341" s="7" t="s">
        <v>474</v>
      </c>
      <c r="F341" s="7" t="s">
        <v>475</v>
      </c>
      <c r="G341" s="7" t="s">
        <v>476</v>
      </c>
      <c r="H341" s="7" t="s">
        <v>11</v>
      </c>
      <c r="I341" s="7" t="str">
        <f>"07060"</f>
        <v>07060</v>
      </c>
      <c r="J341" s="7">
        <v>1910</v>
      </c>
      <c r="K341" s="7">
        <v>0</v>
      </c>
      <c r="L341" s="8" t="s">
        <v>631</v>
      </c>
      <c r="M341" s="53" t="s">
        <v>637</v>
      </c>
      <c r="N341" s="9" t="s">
        <v>638</v>
      </c>
    </row>
    <row r="342" spans="1:14" x14ac:dyDescent="0.3">
      <c r="A342" s="7" t="str">
        <f t="shared" si="70"/>
        <v xml:space="preserve">836       </v>
      </c>
      <c r="B342" s="7" t="str">
        <f>"15.01     "</f>
        <v xml:space="preserve">15.01     </v>
      </c>
      <c r="C342" s="7" t="s">
        <v>10</v>
      </c>
      <c r="D342" s="7" t="s">
        <v>662</v>
      </c>
      <c r="E342" s="7" t="s">
        <v>477</v>
      </c>
      <c r="F342" s="7" t="s">
        <v>32</v>
      </c>
      <c r="G342" s="7" t="s">
        <v>45</v>
      </c>
      <c r="H342" s="7" t="s">
        <v>19</v>
      </c>
      <c r="I342" s="7" t="str">
        <f>"07061"</f>
        <v>07061</v>
      </c>
      <c r="J342" s="7">
        <v>0</v>
      </c>
      <c r="K342" s="7">
        <v>0</v>
      </c>
      <c r="L342" s="8">
        <v>24253</v>
      </c>
      <c r="M342" s="58" t="s">
        <v>1158</v>
      </c>
      <c r="N342" s="9"/>
    </row>
    <row r="343" spans="1:14" x14ac:dyDescent="0.3">
      <c r="A343" s="7" t="str">
        <f>"837       "</f>
        <v xml:space="preserve">837       </v>
      </c>
      <c r="B343" s="7" t="str">
        <f>"1         "</f>
        <v xml:space="preserve">1         </v>
      </c>
      <c r="C343" s="7" t="s">
        <v>10</v>
      </c>
      <c r="D343" s="7" t="s">
        <v>662</v>
      </c>
      <c r="E343" s="7" t="s">
        <v>478</v>
      </c>
      <c r="F343" s="7" t="s">
        <v>479</v>
      </c>
      <c r="G343" s="7" t="s">
        <v>625</v>
      </c>
      <c r="H343" s="7" t="s">
        <v>19</v>
      </c>
      <c r="I343" s="7" t="str">
        <f>"07060"</f>
        <v>07060</v>
      </c>
      <c r="J343" s="7">
        <v>0</v>
      </c>
      <c r="K343" s="7">
        <v>1.3788000300000001</v>
      </c>
      <c r="L343" s="8">
        <v>59155</v>
      </c>
      <c r="M343" s="8" t="s">
        <v>586</v>
      </c>
      <c r="N343" s="9"/>
    </row>
    <row r="344" spans="1:14" x14ac:dyDescent="0.3">
      <c r="A344" s="7" t="str">
        <f t="shared" ref="A344" si="71">"838       "</f>
        <v xml:space="preserve">838       </v>
      </c>
      <c r="B344" s="7" t="str">
        <f>"1.01      "</f>
        <v xml:space="preserve">1.01      </v>
      </c>
      <c r="C344" s="7" t="s">
        <v>10</v>
      </c>
      <c r="D344" s="7" t="s">
        <v>662</v>
      </c>
      <c r="E344" s="7" t="s">
        <v>480</v>
      </c>
      <c r="F344" s="7" t="s">
        <v>481</v>
      </c>
      <c r="G344" s="7" t="s">
        <v>261</v>
      </c>
      <c r="H344" s="7" t="s">
        <v>110</v>
      </c>
      <c r="I344" s="7" t="str">
        <f>"07208"</f>
        <v>07208</v>
      </c>
      <c r="J344" s="7" t="s">
        <v>25</v>
      </c>
      <c r="K344" s="7">
        <v>0</v>
      </c>
      <c r="L344" s="7"/>
      <c r="M344" s="8" t="s">
        <v>642</v>
      </c>
      <c r="N344" s="9" t="s">
        <v>600</v>
      </c>
    </row>
    <row r="345" spans="1:14" x14ac:dyDescent="0.3">
      <c r="A345" s="7" t="str">
        <f t="shared" ref="A345:A349" si="72">"839       "</f>
        <v xml:space="preserve">839       </v>
      </c>
      <c r="B345" s="7" t="str">
        <f>"6         "</f>
        <v xml:space="preserve">6         </v>
      </c>
      <c r="C345" s="7" t="s">
        <v>10</v>
      </c>
      <c r="D345" s="7" t="s">
        <v>662</v>
      </c>
      <c r="E345" s="7" t="s">
        <v>484</v>
      </c>
      <c r="F345" s="7" t="s">
        <v>482</v>
      </c>
      <c r="G345" s="7" t="s">
        <v>483</v>
      </c>
      <c r="H345" s="7" t="s">
        <v>34</v>
      </c>
      <c r="I345" s="7" t="str">
        <f>"07060"</f>
        <v>07060</v>
      </c>
      <c r="J345" s="7">
        <v>1925</v>
      </c>
      <c r="K345" s="7">
        <v>0.13850001000000001</v>
      </c>
      <c r="L345" s="7"/>
      <c r="M345" s="8" t="s">
        <v>642</v>
      </c>
      <c r="N345" s="9" t="s">
        <v>655</v>
      </c>
    </row>
    <row r="346" spans="1:14" x14ac:dyDescent="0.3">
      <c r="A346" s="7" t="str">
        <f t="shared" si="72"/>
        <v xml:space="preserve">839       </v>
      </c>
      <c r="B346" s="7" t="str">
        <f>"13        "</f>
        <v xml:space="preserve">13        </v>
      </c>
      <c r="C346" s="7" t="s">
        <v>10</v>
      </c>
      <c r="D346" s="7" t="s">
        <v>662</v>
      </c>
      <c r="E346" s="7" t="s">
        <v>485</v>
      </c>
      <c r="F346" s="7" t="s">
        <v>486</v>
      </c>
      <c r="G346" s="7" t="s">
        <v>148</v>
      </c>
      <c r="H346" s="7" t="s">
        <v>110</v>
      </c>
      <c r="I346" s="7" t="str">
        <f>"07208"</f>
        <v>07208</v>
      </c>
      <c r="J346" s="7">
        <v>1925</v>
      </c>
      <c r="K346" s="7">
        <v>0</v>
      </c>
      <c r="L346" s="7"/>
      <c r="M346" s="8" t="s">
        <v>642</v>
      </c>
      <c r="N346" s="9"/>
    </row>
    <row r="347" spans="1:14" x14ac:dyDescent="0.3">
      <c r="A347" s="7" t="str">
        <f t="shared" si="72"/>
        <v xml:space="preserve">839       </v>
      </c>
      <c r="B347" s="7" t="str">
        <f>"17        "</f>
        <v xml:space="preserve">17        </v>
      </c>
      <c r="C347" s="7" t="s">
        <v>10</v>
      </c>
      <c r="D347" s="7" t="s">
        <v>662</v>
      </c>
      <c r="E347" s="7" t="s">
        <v>487</v>
      </c>
      <c r="F347" s="7" t="s">
        <v>488</v>
      </c>
      <c r="G347" s="7" t="s">
        <v>148</v>
      </c>
      <c r="H347" s="7" t="s">
        <v>110</v>
      </c>
      <c r="I347" s="7" t="str">
        <f>"07208"</f>
        <v>07208</v>
      </c>
      <c r="J347" s="7">
        <v>0</v>
      </c>
      <c r="K347" s="7">
        <v>0</v>
      </c>
      <c r="L347" s="7"/>
      <c r="M347" s="8" t="s">
        <v>642</v>
      </c>
      <c r="N347" s="9"/>
    </row>
    <row r="348" spans="1:14" x14ac:dyDescent="0.3">
      <c r="A348" s="7" t="str">
        <f t="shared" si="72"/>
        <v xml:space="preserve">839       </v>
      </c>
      <c r="B348" s="7" t="str">
        <f>"18        "</f>
        <v xml:space="preserve">18        </v>
      </c>
      <c r="C348" s="7" t="s">
        <v>10</v>
      </c>
      <c r="D348" s="7" t="s">
        <v>662</v>
      </c>
      <c r="E348" s="7" t="s">
        <v>489</v>
      </c>
      <c r="F348" s="7" t="s">
        <v>490</v>
      </c>
      <c r="G348" s="7" t="s">
        <v>491</v>
      </c>
      <c r="H348" s="7" t="s">
        <v>110</v>
      </c>
      <c r="I348" s="7" t="str">
        <f>"07208"</f>
        <v>07208</v>
      </c>
      <c r="J348" s="7">
        <v>1927</v>
      </c>
      <c r="K348" s="7">
        <v>0</v>
      </c>
      <c r="L348" s="7"/>
      <c r="M348" s="53" t="s">
        <v>1099</v>
      </c>
      <c r="N348" s="9"/>
    </row>
    <row r="349" spans="1:14" x14ac:dyDescent="0.3">
      <c r="A349" s="7" t="str">
        <f t="shared" si="72"/>
        <v xml:space="preserve">839       </v>
      </c>
      <c r="B349" s="7" t="str">
        <f>"20        "</f>
        <v xml:space="preserve">20        </v>
      </c>
      <c r="C349" s="7" t="s">
        <v>10</v>
      </c>
      <c r="D349" s="7" t="s">
        <v>662</v>
      </c>
      <c r="E349" s="7" t="s">
        <v>492</v>
      </c>
      <c r="F349" s="7" t="s">
        <v>482</v>
      </c>
      <c r="G349" s="7" t="s">
        <v>483</v>
      </c>
      <c r="H349" s="7" t="s">
        <v>34</v>
      </c>
      <c r="I349" s="7" t="str">
        <f>"07060"</f>
        <v>07060</v>
      </c>
      <c r="J349" s="7">
        <v>1910</v>
      </c>
      <c r="K349" s="7">
        <v>0.17929999999999999</v>
      </c>
      <c r="L349" s="7"/>
      <c r="M349" s="8" t="s">
        <v>642</v>
      </c>
      <c r="N349" s="9"/>
    </row>
    <row r="350" spans="1:14" x14ac:dyDescent="0.3">
      <c r="A350" s="7" t="str">
        <f t="shared" ref="A350:A354" si="73">"840       "</f>
        <v xml:space="preserve">840       </v>
      </c>
      <c r="B350" s="7" t="str">
        <f>"2         "</f>
        <v xml:space="preserve">2         </v>
      </c>
      <c r="C350" s="7" t="s">
        <v>10</v>
      </c>
      <c r="D350" s="7" t="s">
        <v>662</v>
      </c>
      <c r="E350" s="7" t="s">
        <v>493</v>
      </c>
      <c r="F350" s="7" t="s">
        <v>494</v>
      </c>
      <c r="G350" s="7" t="s">
        <v>133</v>
      </c>
      <c r="H350" s="7" t="s">
        <v>110</v>
      </c>
      <c r="I350" s="7" t="str">
        <f>"07208"</f>
        <v>07208</v>
      </c>
      <c r="J350" s="7">
        <v>1910</v>
      </c>
      <c r="K350" s="7">
        <v>0</v>
      </c>
      <c r="L350" s="7"/>
      <c r="M350" s="8" t="s">
        <v>642</v>
      </c>
      <c r="N350" s="9"/>
    </row>
    <row r="351" spans="1:14" x14ac:dyDescent="0.3">
      <c r="A351" s="7" t="str">
        <f t="shared" si="73"/>
        <v xml:space="preserve">840       </v>
      </c>
      <c r="B351" s="7" t="str">
        <f>"5         "</f>
        <v xml:space="preserve">5         </v>
      </c>
      <c r="C351" s="7" t="s">
        <v>10</v>
      </c>
      <c r="D351" s="7" t="s">
        <v>662</v>
      </c>
      <c r="E351" s="7" t="s">
        <v>495</v>
      </c>
      <c r="F351" s="7" t="s">
        <v>496</v>
      </c>
      <c r="G351" s="7" t="s">
        <v>148</v>
      </c>
      <c r="H351" s="7" t="s">
        <v>110</v>
      </c>
      <c r="I351" s="7" t="str">
        <f>"07208"</f>
        <v>07208</v>
      </c>
      <c r="J351" s="7">
        <v>1855</v>
      </c>
      <c r="K351" s="7">
        <v>0</v>
      </c>
      <c r="L351" s="7"/>
      <c r="M351" s="8" t="s">
        <v>642</v>
      </c>
      <c r="N351" s="9"/>
    </row>
    <row r="352" spans="1:14" x14ac:dyDescent="0.3">
      <c r="A352" s="7" t="str">
        <f t="shared" si="73"/>
        <v xml:space="preserve">840       </v>
      </c>
      <c r="B352" s="7" t="str">
        <f>"8         "</f>
        <v xml:space="preserve">8         </v>
      </c>
      <c r="C352" s="7" t="s">
        <v>10</v>
      </c>
      <c r="D352" s="7" t="s">
        <v>662</v>
      </c>
      <c r="E352" s="7" t="s">
        <v>498</v>
      </c>
      <c r="F352" s="7" t="s">
        <v>497</v>
      </c>
      <c r="G352" s="7" t="s">
        <v>145</v>
      </c>
      <c r="H352" s="7" t="s">
        <v>95</v>
      </c>
      <c r="I352" s="7" t="str">
        <f>"07305"</f>
        <v>07305</v>
      </c>
      <c r="J352" s="7">
        <v>1906</v>
      </c>
      <c r="K352" s="7">
        <v>0</v>
      </c>
      <c r="L352" s="7"/>
      <c r="M352" s="8" t="s">
        <v>641</v>
      </c>
      <c r="N352" s="9"/>
    </row>
    <row r="353" spans="1:14" x14ac:dyDescent="0.3">
      <c r="A353" s="7" t="str">
        <f t="shared" si="73"/>
        <v xml:space="preserve">840       </v>
      </c>
      <c r="B353" s="7" t="str">
        <f>"10        "</f>
        <v xml:space="preserve">10        </v>
      </c>
      <c r="C353" s="7" t="s">
        <v>10</v>
      </c>
      <c r="D353" s="7" t="s">
        <v>662</v>
      </c>
      <c r="E353" s="7" t="s">
        <v>499</v>
      </c>
      <c r="F353" s="7" t="s">
        <v>500</v>
      </c>
      <c r="G353" s="7" t="s">
        <v>501</v>
      </c>
      <c r="H353" s="7" t="s">
        <v>358</v>
      </c>
      <c r="I353" s="7" t="str">
        <f>"07060"</f>
        <v>07060</v>
      </c>
      <c r="J353" s="7">
        <v>1901</v>
      </c>
      <c r="K353" s="7">
        <v>5.74E-2</v>
      </c>
      <c r="L353" s="7"/>
      <c r="M353" s="8" t="s">
        <v>642</v>
      </c>
      <c r="N353" s="9"/>
    </row>
    <row r="354" spans="1:14" x14ac:dyDescent="0.3">
      <c r="A354" s="7" t="str">
        <f t="shared" si="73"/>
        <v xml:space="preserve">840       </v>
      </c>
      <c r="B354" s="7" t="str">
        <f>"15.01     "</f>
        <v xml:space="preserve">15.01     </v>
      </c>
      <c r="C354" s="7" t="s">
        <v>10</v>
      </c>
      <c r="D354" s="7" t="s">
        <v>662</v>
      </c>
      <c r="E354" s="7" t="s">
        <v>502</v>
      </c>
      <c r="F354" s="7" t="s">
        <v>503</v>
      </c>
      <c r="G354" s="7" t="s">
        <v>504</v>
      </c>
      <c r="H354" s="7" t="s">
        <v>87</v>
      </c>
      <c r="I354" s="7" t="str">
        <f>"08876"</f>
        <v>08876</v>
      </c>
      <c r="J354" s="7">
        <v>1910</v>
      </c>
      <c r="K354" s="7">
        <v>0</v>
      </c>
      <c r="L354" s="7"/>
      <c r="M354" s="8" t="s">
        <v>642</v>
      </c>
      <c r="N354" s="9"/>
    </row>
    <row r="355" spans="1:14" x14ac:dyDescent="0.3">
      <c r="A355" s="11">
        <v>856</v>
      </c>
      <c r="B355" s="11">
        <v>11</v>
      </c>
      <c r="C355" s="9" t="s">
        <v>662</v>
      </c>
      <c r="D355" s="9"/>
      <c r="E355" s="14" t="s">
        <v>822</v>
      </c>
      <c r="F355" s="30" t="s">
        <v>1082</v>
      </c>
      <c r="G355" s="14" t="s">
        <v>822</v>
      </c>
      <c r="H355" s="7" t="s">
        <v>831</v>
      </c>
      <c r="I355" s="33" t="str">
        <f>"07060"</f>
        <v>07060</v>
      </c>
      <c r="J355" s="7"/>
      <c r="K355" s="7"/>
      <c r="L355" s="7"/>
      <c r="M355" s="8" t="s">
        <v>642</v>
      </c>
      <c r="N355" s="9" t="s">
        <v>654</v>
      </c>
    </row>
    <row r="356" spans="1:14" x14ac:dyDescent="0.3">
      <c r="A356" s="21">
        <v>915</v>
      </c>
      <c r="B356" s="21">
        <v>53</v>
      </c>
      <c r="C356" s="29"/>
      <c r="D356" s="29" t="s">
        <v>826</v>
      </c>
      <c r="E356" s="24" t="s">
        <v>937</v>
      </c>
      <c r="F356" s="29" t="s">
        <v>1079</v>
      </c>
      <c r="G356" s="29"/>
      <c r="H356" s="25" t="s">
        <v>676</v>
      </c>
      <c r="I356" s="25" t="str">
        <f>"07060"</f>
        <v>07060</v>
      </c>
      <c r="J356" s="29"/>
      <c r="K356" s="29"/>
      <c r="L356" s="29"/>
      <c r="M356" s="15" t="s">
        <v>641</v>
      </c>
      <c r="N356" s="16"/>
    </row>
    <row r="357" spans="1:14" x14ac:dyDescent="0.3">
      <c r="A357" s="21">
        <v>922</v>
      </c>
      <c r="B357" s="21">
        <v>65</v>
      </c>
      <c r="C357" s="25"/>
      <c r="D357" s="25" t="s">
        <v>826</v>
      </c>
      <c r="E357" s="25" t="s">
        <v>844</v>
      </c>
      <c r="F357" s="25" t="s">
        <v>1080</v>
      </c>
      <c r="G357" s="25" t="s">
        <v>1081</v>
      </c>
      <c r="H357" s="25" t="s">
        <v>110</v>
      </c>
      <c r="I357" s="25" t="str">
        <f>"07207"</f>
        <v>07207</v>
      </c>
      <c r="J357" s="25"/>
      <c r="K357" s="25"/>
      <c r="L357" s="26">
        <v>423459</v>
      </c>
      <c r="M357" s="8" t="s">
        <v>590</v>
      </c>
      <c r="N357" s="16"/>
    </row>
    <row r="358" spans="1:14" x14ac:dyDescent="0.3">
      <c r="D358" s="5"/>
      <c r="N358" s="9"/>
    </row>
    <row r="360" spans="1:14" x14ac:dyDescent="0.3">
      <c r="A360" s="38" t="s">
        <v>940</v>
      </c>
      <c r="B360" s="39"/>
      <c r="D360" s="5"/>
    </row>
    <row r="361" spans="1:14" x14ac:dyDescent="0.3">
      <c r="A361" s="36" t="s">
        <v>945</v>
      </c>
      <c r="B361" s="36" t="s">
        <v>946</v>
      </c>
    </row>
    <row r="362" spans="1:14" x14ac:dyDescent="0.3">
      <c r="A362" s="36" t="s">
        <v>947</v>
      </c>
      <c r="B362" s="36" t="s">
        <v>948</v>
      </c>
    </row>
    <row r="363" spans="1:14" x14ac:dyDescent="0.3">
      <c r="A363" s="36" t="s">
        <v>951</v>
      </c>
      <c r="B363" s="36" t="s">
        <v>952</v>
      </c>
    </row>
    <row r="364" spans="1:14" x14ac:dyDescent="0.3">
      <c r="A364" s="36" t="s">
        <v>943</v>
      </c>
      <c r="B364" s="36" t="s">
        <v>944</v>
      </c>
      <c r="C364" s="36"/>
      <c r="D364" s="36"/>
      <c r="E364" s="36"/>
    </row>
    <row r="365" spans="1:14" x14ac:dyDescent="0.3">
      <c r="A365" s="36" t="s">
        <v>941</v>
      </c>
      <c r="B365" s="36" t="s">
        <v>942</v>
      </c>
      <c r="C365" s="36"/>
      <c r="D365" s="36"/>
      <c r="E365" s="36"/>
    </row>
    <row r="366" spans="1:14" x14ac:dyDescent="0.3">
      <c r="A366" s="36" t="s">
        <v>955</v>
      </c>
      <c r="B366" s="36" t="s">
        <v>956</v>
      </c>
    </row>
    <row r="367" spans="1:14" x14ac:dyDescent="0.3">
      <c r="A367" s="36" t="s">
        <v>938</v>
      </c>
      <c r="B367" s="36" t="s">
        <v>939</v>
      </c>
      <c r="C367" s="36"/>
      <c r="D367" s="37"/>
      <c r="E367" s="36"/>
    </row>
    <row r="368" spans="1:14" x14ac:dyDescent="0.3">
      <c r="A368" s="36" t="s">
        <v>959</v>
      </c>
      <c r="B368" s="36" t="s">
        <v>961</v>
      </c>
      <c r="C368" s="36"/>
      <c r="D368" s="37"/>
      <c r="E368" s="36"/>
    </row>
    <row r="369" spans="1:5" x14ac:dyDescent="0.3">
      <c r="A369" s="36" t="s">
        <v>960</v>
      </c>
      <c r="B369" s="36" t="s">
        <v>962</v>
      </c>
      <c r="C369" s="36"/>
      <c r="D369" s="37"/>
      <c r="E369" s="36"/>
    </row>
    <row r="370" spans="1:5" x14ac:dyDescent="0.3">
      <c r="A370" s="36" t="s">
        <v>949</v>
      </c>
      <c r="B370" s="36" t="s">
        <v>950</v>
      </c>
    </row>
    <row r="371" spans="1:5" x14ac:dyDescent="0.3">
      <c r="A371" s="36" t="s">
        <v>1136</v>
      </c>
      <c r="B371" s="36" t="s">
        <v>1137</v>
      </c>
    </row>
    <row r="372" spans="1:5" x14ac:dyDescent="0.3">
      <c r="A372" s="36" t="s">
        <v>1134</v>
      </c>
      <c r="B372" s="36" t="s">
        <v>1135</v>
      </c>
    </row>
    <row r="373" spans="1:5" x14ac:dyDescent="0.3">
      <c r="A373" s="36" t="s">
        <v>965</v>
      </c>
      <c r="B373" s="36" t="s">
        <v>958</v>
      </c>
    </row>
    <row r="374" spans="1:5" x14ac:dyDescent="0.3">
      <c r="A374" s="36" t="s">
        <v>1132</v>
      </c>
      <c r="B374" s="36" t="s">
        <v>1133</v>
      </c>
    </row>
    <row r="375" spans="1:5" x14ac:dyDescent="0.3">
      <c r="A375" s="36" t="s">
        <v>953</v>
      </c>
      <c r="B375" s="36" t="s">
        <v>954</v>
      </c>
    </row>
    <row r="376" spans="1:5" x14ac:dyDescent="0.3">
      <c r="A376" s="36" t="s">
        <v>963</v>
      </c>
      <c r="B376" s="36" t="s">
        <v>964</v>
      </c>
    </row>
    <row r="377" spans="1:5" x14ac:dyDescent="0.3">
      <c r="A377" s="36" t="s">
        <v>1033</v>
      </c>
      <c r="E377" t="s">
        <v>1035</v>
      </c>
    </row>
    <row r="378" spans="1:5" x14ac:dyDescent="0.3">
      <c r="A378" s="36" t="s">
        <v>1034</v>
      </c>
      <c r="E378" t="s">
        <v>1083</v>
      </c>
    </row>
    <row r="379" spans="1:5" x14ac:dyDescent="0.3">
      <c r="A379" s="1"/>
      <c r="B379" s="36" t="s">
        <v>1131</v>
      </c>
    </row>
    <row r="439" spans="12:14" x14ac:dyDescent="0.3">
      <c r="L439" s="6"/>
      <c r="M439" s="6"/>
    </row>
    <row r="440" spans="12:14" x14ac:dyDescent="0.3">
      <c r="N440" s="4"/>
    </row>
    <row r="453" spans="1:14" x14ac:dyDescent="0.3">
      <c r="L453" s="6"/>
      <c r="M453" s="6"/>
    </row>
    <row r="454" spans="1:14" s="1" customFormat="1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 s="2"/>
    </row>
    <row r="457" spans="1:14" x14ac:dyDescent="0.3">
      <c r="M457" s="2"/>
    </row>
    <row r="458" spans="1:14" x14ac:dyDescent="0.3">
      <c r="N458"/>
    </row>
  </sheetData>
  <pageMargins left="0.25" right="0.25" top="0.75" bottom="0.75" header="0.3" footer="0.3"/>
  <pageSetup paperSize="17" scale="7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0bc783-b2ed-4a2c-a643-d30ad8b1056e">
      <Terms xmlns="http://schemas.microsoft.com/office/infopath/2007/PartnerControls"/>
    </lcf76f155ced4ddcb4097134ff3c332f>
    <TaxCatchAll xmlns="06b7d68c-9623-4d26-ad82-b1c5cfdc4ca5" xsi:nil="true"/>
  </documentManagement>
</p:properties>
</file>

<file path=customXml/itemProps1.xml><?xml version="1.0" encoding="utf-8"?>
<ds:datastoreItem xmlns:ds="http://schemas.openxmlformats.org/officeDocument/2006/customXml" ds:itemID="{98D82009-423C-4BF8-90B7-33A185E3C4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3005E3-4E32-4720-AAE0-71152B54468F}">
  <ds:schemaRefs>
    <ds:schemaRef ds:uri="http://schemas.microsoft.com/office/2006/metadata/properties"/>
    <ds:schemaRef ds:uri="http://schemas.microsoft.com/office/infopath/2007/PartnerControls"/>
    <ds:schemaRef ds:uri="f60bc783-b2ed-4a2c-a643-d30ad8b1056e"/>
    <ds:schemaRef ds:uri="06b7d68c-9623-4d26-ad82-b1c5cfdc4c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ownexl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Wyatt, Richard</dc:creator>
  <cp:lastModifiedBy>Brittany Claybrooks</cp:lastModifiedBy>
  <cp:lastPrinted>2017-07-11T13:29:47Z</cp:lastPrinted>
  <dcterms:created xsi:type="dcterms:W3CDTF">2016-10-13T19:56:13Z</dcterms:created>
  <dcterms:modified xsi:type="dcterms:W3CDTF">2023-01-27T15:47:36Z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0x01010093EBFFB4587FBE4088EABB5B2CC9C2C5</vt:lpwstr>
  </property>
  <property fmtid="{D5CDD505-2E9C-101B-9397-08002B2CF9AE}" pid="3" name="Order">
    <vt:r8>12427600</vt:r8>
  </property>
</Properties>
</file>