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W:\Finance\2021 Township\"/>
    </mc:Choice>
  </mc:AlternateContent>
  <xr:revisionPtr revIDLastSave="0" documentId="13_ncr:1_{C2509B23-77B1-4EBC-8A00-21AC5BFDDE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etai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57" i="1" l="1"/>
  <c r="U157" i="1"/>
  <c r="T157" i="1"/>
  <c r="S157" i="1"/>
  <c r="R157" i="1"/>
  <c r="Q157" i="1"/>
  <c r="P157" i="1"/>
  <c r="O157" i="1"/>
  <c r="M157" i="1"/>
  <c r="L157" i="1"/>
  <c r="K157" i="1"/>
  <c r="J157" i="1"/>
  <c r="A3" i="1"/>
  <c r="B3" i="1"/>
  <c r="D3" i="1"/>
  <c r="I3" i="1"/>
  <c r="A4" i="1"/>
  <c r="B4" i="1"/>
  <c r="D4" i="1"/>
  <c r="I4" i="1"/>
  <c r="A5" i="1"/>
  <c r="B5" i="1"/>
  <c r="D5" i="1"/>
  <c r="I5" i="1"/>
  <c r="A6" i="1"/>
  <c r="B6" i="1"/>
  <c r="D6" i="1"/>
  <c r="I6" i="1"/>
  <c r="A7" i="1"/>
  <c r="B7" i="1"/>
  <c r="D7" i="1"/>
  <c r="I7" i="1"/>
  <c r="A8" i="1"/>
  <c r="B8" i="1"/>
  <c r="D8" i="1"/>
  <c r="I8" i="1"/>
  <c r="A9" i="1"/>
  <c r="B9" i="1"/>
  <c r="D9" i="1"/>
  <c r="I9" i="1"/>
  <c r="A10" i="1"/>
  <c r="B10" i="1"/>
  <c r="D10" i="1"/>
  <c r="I10" i="1"/>
  <c r="A11" i="1"/>
  <c r="B11" i="1"/>
  <c r="D11" i="1"/>
  <c r="I11" i="1"/>
  <c r="A12" i="1"/>
  <c r="B12" i="1"/>
  <c r="D12" i="1"/>
  <c r="I12" i="1"/>
  <c r="A13" i="1"/>
  <c r="B13" i="1"/>
  <c r="D13" i="1"/>
  <c r="I13" i="1"/>
  <c r="A14" i="1"/>
  <c r="B14" i="1"/>
  <c r="D14" i="1"/>
  <c r="I14" i="1"/>
  <c r="A15" i="1"/>
  <c r="B15" i="1"/>
  <c r="D15" i="1"/>
  <c r="I15" i="1"/>
  <c r="A16" i="1"/>
  <c r="B16" i="1"/>
  <c r="D16" i="1"/>
  <c r="I16" i="1"/>
  <c r="A17" i="1"/>
  <c r="B17" i="1"/>
  <c r="D17" i="1"/>
  <c r="I17" i="1"/>
  <c r="A18" i="1"/>
  <c r="B18" i="1"/>
  <c r="D18" i="1"/>
  <c r="I18" i="1"/>
  <c r="A19" i="1"/>
  <c r="B19" i="1"/>
  <c r="D19" i="1"/>
  <c r="I19" i="1"/>
  <c r="A20" i="1"/>
  <c r="B20" i="1"/>
  <c r="D20" i="1"/>
  <c r="I20" i="1"/>
  <c r="A21" i="1"/>
  <c r="B21" i="1"/>
  <c r="D21" i="1"/>
  <c r="I21" i="1"/>
  <c r="A22" i="1"/>
  <c r="B22" i="1"/>
  <c r="D22" i="1"/>
  <c r="I22" i="1"/>
  <c r="A23" i="1"/>
  <c r="B23" i="1"/>
  <c r="D23" i="1"/>
  <c r="I23" i="1"/>
  <c r="A24" i="1"/>
  <c r="B24" i="1"/>
  <c r="D24" i="1"/>
  <c r="I24" i="1"/>
  <c r="A25" i="1"/>
  <c r="B25" i="1"/>
  <c r="D25" i="1"/>
  <c r="I25" i="1"/>
  <c r="A26" i="1"/>
  <c r="B26" i="1"/>
  <c r="D26" i="1"/>
  <c r="I26" i="1"/>
  <c r="A27" i="1"/>
  <c r="B27" i="1"/>
  <c r="D27" i="1"/>
  <c r="I27" i="1"/>
  <c r="A28" i="1"/>
  <c r="B28" i="1"/>
  <c r="D28" i="1"/>
  <c r="I28" i="1"/>
  <c r="A29" i="1"/>
  <c r="B29" i="1"/>
  <c r="D29" i="1"/>
  <c r="I29" i="1"/>
  <c r="A30" i="1"/>
  <c r="B30" i="1"/>
  <c r="D30" i="1"/>
  <c r="I30" i="1"/>
  <c r="A31" i="1"/>
  <c r="B31" i="1"/>
  <c r="D31" i="1"/>
  <c r="I31" i="1"/>
  <c r="A32" i="1"/>
  <c r="B32" i="1"/>
  <c r="D32" i="1"/>
  <c r="I32" i="1"/>
  <c r="A33" i="1"/>
  <c r="B33" i="1"/>
  <c r="D33" i="1"/>
  <c r="I33" i="1"/>
  <c r="A34" i="1"/>
  <c r="B34" i="1"/>
  <c r="D34" i="1"/>
  <c r="I34" i="1"/>
  <c r="A35" i="1"/>
  <c r="B35" i="1"/>
  <c r="D35" i="1"/>
  <c r="I35" i="1"/>
  <c r="A36" i="1"/>
  <c r="B36" i="1"/>
  <c r="D36" i="1"/>
  <c r="I36" i="1"/>
  <c r="A37" i="1"/>
  <c r="B37" i="1"/>
  <c r="D37" i="1"/>
  <c r="I37" i="1"/>
  <c r="A38" i="1"/>
  <c r="B38" i="1"/>
  <c r="D38" i="1"/>
  <c r="I38" i="1"/>
  <c r="A39" i="1"/>
  <c r="B39" i="1"/>
  <c r="D39" i="1"/>
  <c r="I39" i="1"/>
  <c r="A40" i="1"/>
  <c r="B40" i="1"/>
  <c r="D40" i="1"/>
  <c r="I40" i="1"/>
  <c r="A41" i="1"/>
  <c r="B41" i="1"/>
  <c r="D41" i="1"/>
  <c r="I41" i="1"/>
  <c r="A42" i="1"/>
  <c r="B42" i="1"/>
  <c r="D42" i="1"/>
  <c r="I42" i="1"/>
  <c r="A43" i="1"/>
  <c r="B43" i="1"/>
  <c r="D43" i="1"/>
  <c r="I43" i="1"/>
  <c r="A44" i="1"/>
  <c r="B44" i="1"/>
  <c r="D44" i="1"/>
  <c r="I44" i="1"/>
  <c r="A45" i="1"/>
  <c r="B45" i="1"/>
  <c r="D45" i="1"/>
  <c r="I45" i="1"/>
  <c r="A46" i="1"/>
  <c r="B46" i="1"/>
  <c r="D46" i="1"/>
  <c r="I46" i="1"/>
  <c r="A47" i="1"/>
  <c r="B47" i="1"/>
  <c r="D47" i="1"/>
  <c r="I47" i="1"/>
  <c r="A48" i="1"/>
  <c r="B48" i="1"/>
  <c r="D48" i="1"/>
  <c r="I48" i="1"/>
  <c r="A49" i="1"/>
  <c r="B49" i="1"/>
  <c r="D49" i="1"/>
  <c r="I49" i="1"/>
  <c r="A50" i="1"/>
  <c r="B50" i="1"/>
  <c r="D50" i="1"/>
  <c r="I50" i="1"/>
  <c r="A51" i="1"/>
  <c r="B51" i="1"/>
  <c r="D51" i="1"/>
  <c r="I51" i="1"/>
  <c r="A52" i="1"/>
  <c r="B52" i="1"/>
  <c r="D52" i="1"/>
  <c r="I52" i="1"/>
  <c r="A53" i="1"/>
  <c r="B53" i="1"/>
  <c r="D53" i="1"/>
  <c r="I53" i="1"/>
  <c r="A54" i="1"/>
  <c r="B54" i="1"/>
  <c r="D54" i="1"/>
  <c r="I54" i="1"/>
  <c r="A55" i="1"/>
  <c r="B55" i="1"/>
  <c r="D55" i="1"/>
  <c r="I55" i="1"/>
  <c r="A56" i="1"/>
  <c r="B56" i="1"/>
  <c r="D56" i="1"/>
  <c r="I56" i="1"/>
  <c r="A57" i="1"/>
  <c r="B57" i="1"/>
  <c r="D57" i="1"/>
  <c r="I57" i="1"/>
  <c r="A58" i="1"/>
  <c r="B58" i="1"/>
  <c r="D58" i="1"/>
  <c r="I58" i="1"/>
  <c r="A59" i="1"/>
  <c r="B59" i="1"/>
  <c r="D59" i="1"/>
  <c r="I59" i="1"/>
  <c r="A60" i="1"/>
  <c r="B60" i="1"/>
  <c r="D60" i="1"/>
  <c r="I60" i="1"/>
  <c r="A61" i="1"/>
  <c r="B61" i="1"/>
  <c r="D61" i="1"/>
  <c r="I61" i="1"/>
  <c r="A62" i="1"/>
  <c r="B62" i="1"/>
  <c r="D62" i="1"/>
  <c r="I62" i="1"/>
  <c r="A63" i="1"/>
  <c r="B63" i="1"/>
  <c r="D63" i="1"/>
  <c r="I63" i="1"/>
  <c r="A64" i="1"/>
  <c r="B64" i="1"/>
  <c r="D64" i="1"/>
  <c r="I64" i="1"/>
  <c r="A65" i="1"/>
  <c r="B65" i="1"/>
  <c r="D65" i="1"/>
  <c r="I65" i="1"/>
  <c r="A66" i="1"/>
  <c r="B66" i="1"/>
  <c r="D66" i="1"/>
  <c r="I66" i="1"/>
  <c r="A67" i="1"/>
  <c r="B67" i="1"/>
  <c r="D67" i="1"/>
  <c r="I67" i="1"/>
  <c r="A68" i="1"/>
  <c r="B68" i="1"/>
  <c r="D68" i="1"/>
  <c r="I68" i="1"/>
  <c r="A69" i="1"/>
  <c r="B69" i="1"/>
  <c r="D69" i="1"/>
  <c r="I69" i="1"/>
  <c r="A70" i="1"/>
  <c r="B70" i="1"/>
  <c r="D70" i="1"/>
  <c r="I70" i="1"/>
  <c r="A71" i="1"/>
  <c r="B71" i="1"/>
  <c r="D71" i="1"/>
  <c r="I71" i="1"/>
  <c r="A72" i="1"/>
  <c r="B72" i="1"/>
  <c r="D72" i="1"/>
  <c r="I72" i="1"/>
  <c r="A73" i="1"/>
  <c r="B73" i="1"/>
  <c r="D73" i="1"/>
  <c r="I73" i="1"/>
  <c r="A74" i="1"/>
  <c r="B74" i="1"/>
  <c r="D74" i="1"/>
  <c r="I74" i="1"/>
  <c r="A75" i="1"/>
  <c r="B75" i="1"/>
  <c r="D75" i="1"/>
  <c r="I75" i="1"/>
  <c r="A76" i="1"/>
  <c r="B76" i="1"/>
  <c r="D76" i="1"/>
  <c r="I76" i="1"/>
  <c r="A77" i="1"/>
  <c r="B77" i="1"/>
  <c r="D77" i="1"/>
  <c r="I77" i="1"/>
  <c r="A78" i="1"/>
  <c r="B78" i="1"/>
  <c r="D78" i="1"/>
  <c r="I78" i="1"/>
  <c r="A79" i="1"/>
  <c r="B79" i="1"/>
  <c r="D79" i="1"/>
  <c r="I79" i="1"/>
  <c r="A80" i="1"/>
  <c r="B80" i="1"/>
  <c r="D80" i="1"/>
  <c r="I80" i="1"/>
  <c r="A81" i="1"/>
  <c r="B81" i="1"/>
  <c r="D81" i="1"/>
  <c r="I81" i="1"/>
  <c r="A82" i="1"/>
  <c r="B82" i="1"/>
  <c r="D82" i="1"/>
  <c r="I82" i="1"/>
  <c r="A83" i="1"/>
  <c r="B83" i="1"/>
  <c r="D83" i="1"/>
  <c r="I83" i="1"/>
  <c r="A84" i="1"/>
  <c r="B84" i="1"/>
  <c r="D84" i="1"/>
  <c r="I84" i="1"/>
  <c r="A85" i="1"/>
  <c r="B85" i="1"/>
  <c r="D85" i="1"/>
  <c r="I85" i="1"/>
  <c r="A86" i="1"/>
  <c r="B86" i="1"/>
  <c r="D86" i="1"/>
  <c r="I86" i="1"/>
  <c r="A87" i="1"/>
  <c r="B87" i="1"/>
  <c r="D87" i="1"/>
  <c r="I87" i="1"/>
  <c r="A88" i="1"/>
  <c r="B88" i="1"/>
  <c r="D88" i="1"/>
  <c r="I88" i="1"/>
  <c r="A89" i="1"/>
  <c r="B89" i="1"/>
  <c r="D89" i="1"/>
  <c r="I89" i="1"/>
  <c r="A90" i="1"/>
  <c r="B90" i="1"/>
  <c r="D90" i="1"/>
  <c r="I90" i="1"/>
  <c r="A91" i="1"/>
  <c r="B91" i="1"/>
  <c r="D91" i="1"/>
  <c r="I91" i="1"/>
  <c r="A92" i="1"/>
  <c r="B92" i="1"/>
  <c r="D92" i="1"/>
  <c r="I92" i="1"/>
  <c r="A93" i="1"/>
  <c r="B93" i="1"/>
  <c r="D93" i="1"/>
  <c r="I93" i="1"/>
  <c r="A94" i="1"/>
  <c r="B94" i="1"/>
  <c r="D94" i="1"/>
  <c r="I94" i="1"/>
  <c r="A95" i="1"/>
  <c r="B95" i="1"/>
  <c r="D95" i="1"/>
  <c r="I95" i="1"/>
  <c r="A96" i="1"/>
  <c r="B96" i="1"/>
  <c r="D96" i="1"/>
  <c r="I96" i="1"/>
  <c r="A97" i="1"/>
  <c r="B97" i="1"/>
  <c r="D97" i="1"/>
  <c r="I97" i="1"/>
  <c r="A98" i="1"/>
  <c r="B98" i="1"/>
  <c r="D98" i="1"/>
  <c r="I98" i="1"/>
  <c r="A99" i="1"/>
  <c r="B99" i="1"/>
  <c r="D99" i="1"/>
  <c r="I99" i="1"/>
  <c r="A100" i="1"/>
  <c r="B100" i="1"/>
  <c r="D100" i="1"/>
  <c r="I100" i="1"/>
  <c r="A101" i="1"/>
  <c r="B101" i="1"/>
  <c r="D101" i="1"/>
  <c r="I101" i="1"/>
  <c r="A102" i="1"/>
  <c r="B102" i="1"/>
  <c r="D102" i="1"/>
  <c r="I102" i="1"/>
  <c r="A103" i="1"/>
  <c r="B103" i="1"/>
  <c r="D103" i="1"/>
  <c r="I103" i="1"/>
  <c r="A104" i="1"/>
  <c r="B104" i="1"/>
  <c r="D104" i="1"/>
  <c r="I104" i="1"/>
  <c r="A105" i="1"/>
  <c r="B105" i="1"/>
  <c r="D105" i="1"/>
  <c r="I105" i="1"/>
  <c r="A106" i="1"/>
  <c r="B106" i="1"/>
  <c r="D106" i="1"/>
  <c r="I106" i="1"/>
  <c r="A107" i="1"/>
  <c r="B107" i="1"/>
  <c r="D107" i="1"/>
  <c r="I107" i="1"/>
  <c r="A108" i="1"/>
  <c r="B108" i="1"/>
  <c r="D108" i="1"/>
  <c r="I108" i="1"/>
  <c r="A109" i="1"/>
  <c r="B109" i="1"/>
  <c r="D109" i="1"/>
  <c r="I109" i="1"/>
  <c r="A110" i="1"/>
  <c r="B110" i="1"/>
  <c r="D110" i="1"/>
  <c r="I110" i="1"/>
  <c r="A111" i="1"/>
  <c r="B111" i="1"/>
  <c r="D111" i="1"/>
  <c r="I111" i="1"/>
  <c r="A112" i="1"/>
  <c r="B112" i="1"/>
  <c r="D112" i="1"/>
  <c r="I112" i="1"/>
  <c r="A113" i="1"/>
  <c r="B113" i="1"/>
  <c r="D113" i="1"/>
  <c r="I113" i="1"/>
  <c r="A114" i="1"/>
  <c r="B114" i="1"/>
  <c r="D114" i="1"/>
  <c r="I114" i="1"/>
  <c r="A115" i="1"/>
  <c r="B115" i="1"/>
  <c r="D115" i="1"/>
  <c r="I115" i="1"/>
  <c r="A116" i="1"/>
  <c r="B116" i="1"/>
  <c r="D116" i="1"/>
  <c r="I116" i="1"/>
  <c r="A117" i="1"/>
  <c r="B117" i="1"/>
  <c r="D117" i="1"/>
  <c r="I117" i="1"/>
  <c r="A118" i="1"/>
  <c r="B118" i="1"/>
  <c r="D118" i="1"/>
  <c r="I118" i="1"/>
  <c r="A119" i="1"/>
  <c r="B119" i="1"/>
  <c r="D119" i="1"/>
  <c r="I119" i="1"/>
  <c r="A120" i="1"/>
  <c r="B120" i="1"/>
  <c r="D120" i="1"/>
  <c r="I120" i="1"/>
  <c r="A121" i="1"/>
  <c r="B121" i="1"/>
  <c r="D121" i="1"/>
  <c r="I121" i="1"/>
  <c r="A122" i="1"/>
  <c r="B122" i="1"/>
  <c r="D122" i="1"/>
  <c r="I122" i="1"/>
  <c r="A123" i="1"/>
  <c r="B123" i="1"/>
  <c r="D123" i="1"/>
  <c r="I123" i="1"/>
  <c r="A124" i="1"/>
  <c r="B124" i="1"/>
  <c r="D124" i="1"/>
  <c r="I124" i="1"/>
  <c r="A125" i="1"/>
  <c r="B125" i="1"/>
  <c r="D125" i="1"/>
  <c r="I125" i="1"/>
  <c r="A126" i="1"/>
  <c r="B126" i="1"/>
  <c r="D126" i="1"/>
  <c r="I126" i="1"/>
  <c r="A127" i="1"/>
  <c r="B127" i="1"/>
  <c r="D127" i="1"/>
  <c r="I127" i="1"/>
  <c r="A128" i="1"/>
  <c r="B128" i="1"/>
  <c r="D128" i="1"/>
  <c r="I128" i="1"/>
  <c r="A129" i="1"/>
  <c r="B129" i="1"/>
  <c r="D129" i="1"/>
  <c r="I129" i="1"/>
  <c r="A130" i="1"/>
  <c r="B130" i="1"/>
  <c r="D130" i="1"/>
  <c r="I130" i="1"/>
  <c r="A131" i="1"/>
  <c r="B131" i="1"/>
  <c r="D131" i="1"/>
  <c r="I131" i="1"/>
  <c r="A132" i="1"/>
  <c r="B132" i="1"/>
  <c r="D132" i="1"/>
  <c r="I132" i="1"/>
  <c r="A133" i="1"/>
  <c r="B133" i="1"/>
  <c r="D133" i="1"/>
  <c r="I133" i="1"/>
  <c r="A134" i="1"/>
  <c r="B134" i="1"/>
  <c r="D134" i="1"/>
  <c r="I134" i="1"/>
  <c r="A135" i="1"/>
  <c r="B135" i="1"/>
  <c r="D135" i="1"/>
  <c r="I135" i="1"/>
  <c r="A136" i="1"/>
  <c r="B136" i="1"/>
  <c r="D136" i="1"/>
  <c r="I136" i="1"/>
  <c r="A137" i="1"/>
  <c r="B137" i="1"/>
  <c r="D137" i="1"/>
  <c r="I137" i="1"/>
  <c r="A138" i="1"/>
  <c r="B138" i="1"/>
  <c r="D138" i="1"/>
  <c r="I138" i="1"/>
  <c r="A139" i="1"/>
  <c r="B139" i="1"/>
  <c r="D139" i="1"/>
  <c r="I139" i="1"/>
  <c r="A140" i="1"/>
  <c r="B140" i="1"/>
  <c r="D140" i="1"/>
  <c r="I140" i="1"/>
  <c r="A141" i="1"/>
  <c r="B141" i="1"/>
  <c r="D141" i="1"/>
  <c r="I141" i="1"/>
  <c r="A142" i="1"/>
  <c r="B142" i="1"/>
  <c r="D142" i="1"/>
  <c r="I142" i="1"/>
  <c r="A143" i="1"/>
  <c r="B143" i="1"/>
  <c r="D143" i="1"/>
  <c r="I143" i="1"/>
  <c r="A144" i="1"/>
  <c r="B144" i="1"/>
  <c r="D144" i="1"/>
  <c r="I144" i="1"/>
  <c r="A145" i="1"/>
  <c r="B145" i="1"/>
  <c r="D145" i="1"/>
  <c r="I145" i="1"/>
  <c r="A146" i="1"/>
  <c r="B146" i="1"/>
  <c r="D146" i="1"/>
  <c r="I146" i="1"/>
  <c r="A147" i="1"/>
  <c r="B147" i="1"/>
  <c r="D147" i="1"/>
  <c r="I147" i="1"/>
  <c r="A148" i="1"/>
  <c r="B148" i="1"/>
  <c r="D148" i="1"/>
  <c r="I148" i="1"/>
  <c r="A149" i="1"/>
  <c r="B149" i="1"/>
  <c r="D149" i="1"/>
  <c r="I149" i="1"/>
  <c r="A150" i="1"/>
  <c r="B150" i="1"/>
  <c r="D150" i="1"/>
  <c r="I150" i="1"/>
  <c r="A151" i="1"/>
  <c r="B151" i="1"/>
  <c r="D151" i="1"/>
  <c r="I151" i="1"/>
  <c r="A152" i="1"/>
  <c r="B152" i="1"/>
  <c r="D152" i="1"/>
  <c r="I152" i="1"/>
  <c r="A153" i="1"/>
  <c r="B153" i="1"/>
  <c r="D153" i="1"/>
  <c r="I153" i="1"/>
  <c r="A154" i="1"/>
  <c r="B154" i="1"/>
  <c r="D154" i="1"/>
  <c r="I154" i="1"/>
  <c r="A155" i="1"/>
  <c r="B155" i="1"/>
  <c r="D155" i="1"/>
  <c r="I155" i="1"/>
</calcChain>
</file>

<file path=xl/sharedStrings.xml><?xml version="1.0" encoding="utf-8"?>
<sst xmlns="http://schemas.openxmlformats.org/spreadsheetml/2006/main" count="940" uniqueCount="432">
  <si>
    <t xml:space="preserve"> Acreage</t>
  </si>
  <si>
    <t>MORRIS PLAINS, NJ</t>
  </si>
  <si>
    <t>F03</t>
  </si>
  <si>
    <t>REAR POPLAR DR</t>
  </si>
  <si>
    <t>STEVENS, WILLIAM R &amp;PATRICIA H</t>
  </si>
  <si>
    <t>35 BEECH DR</t>
  </si>
  <si>
    <t>SLOJKOWSKI, FRANCIS E</t>
  </si>
  <si>
    <t>BEECH DR</t>
  </si>
  <si>
    <t>BISHOP, HENRY I &amp; ELAINE</t>
  </si>
  <si>
    <t>31 PARKER DR</t>
  </si>
  <si>
    <t>HARTH, ALLEN J &amp; ELLEN K</t>
  </si>
  <si>
    <t>33 PARKER DR</t>
  </si>
  <si>
    <t>CIESIELKA, ALBERT J &amp; REGINA M</t>
  </si>
  <si>
    <t>35 PARKER DR</t>
  </si>
  <si>
    <t>BORTNICK, CARLA A &amp; JON S</t>
  </si>
  <si>
    <t>37 PARKER DR</t>
  </si>
  <si>
    <t>6 PARKSIDE DR</t>
  </si>
  <si>
    <t>EAST HANOVER, NJ</t>
  </si>
  <si>
    <t>12 WHITE BIRCH DR</t>
  </si>
  <si>
    <t>PODEIELSKI, GARY &amp; WALTER</t>
  </si>
  <si>
    <t>17 WHITE BIRCH DR</t>
  </si>
  <si>
    <t>PAGANUS, ROBERT A. &amp; DAWN R.</t>
  </si>
  <si>
    <t>17 CROSS RD</t>
  </si>
  <si>
    <t>CEDAR KNOLLS, NJ</t>
  </si>
  <si>
    <t>WHIPPANY, NJ</t>
  </si>
  <si>
    <t>OFF MALAPARDIS RD</t>
  </si>
  <si>
    <t>SOUTHEAST MORRIS CTY MUN UTIL AUTH</t>
  </si>
  <si>
    <t>19 SADDLE RD</t>
  </si>
  <si>
    <t>REAR CROSS RD</t>
  </si>
  <si>
    <t>1515 PARSIPPANY, LLC</t>
  </si>
  <si>
    <t>2807 DELMAR DR, STE A</t>
  </si>
  <si>
    <t>BEXLEY, OH</t>
  </si>
  <si>
    <t>5 LAUREL LN</t>
  </si>
  <si>
    <t>C0001</t>
  </si>
  <si>
    <t>230 HANOVER AVE</t>
  </si>
  <si>
    <t>C0002</t>
  </si>
  <si>
    <t>JMF 230 HANOVER AVE LLC ETALS</t>
  </si>
  <si>
    <t>80 S JEFFERSON RD #202</t>
  </si>
  <si>
    <t>C0003</t>
  </si>
  <si>
    <t>OPEN SPACE HANOVER PARCEL LLC</t>
  </si>
  <si>
    <t>CA</t>
  </si>
  <si>
    <t>RJ PARENT INVESTORS LLC</t>
  </si>
  <si>
    <t>80 SO JEFFERSON RD STE202</t>
  </si>
  <si>
    <t>38 HORSEHILL RD</t>
  </si>
  <si>
    <t>VIERA AT HANOVER LLC</t>
  </si>
  <si>
    <t>600 SOUTH LIVINGSTON AVE</t>
  </si>
  <si>
    <t>LIVINGSTON, NJ</t>
  </si>
  <si>
    <t>TOWNSHIP OF HANOVER</t>
  </si>
  <si>
    <t>WHIPPANY, N.J.</t>
  </si>
  <si>
    <t>PO BOX 250</t>
  </si>
  <si>
    <t>REAR OF AMERICAN WAY</t>
  </si>
  <si>
    <t>WATERVIEW AT HANOVER LLC</t>
  </si>
  <si>
    <t>2465 KUSER RD</t>
  </si>
  <si>
    <t>HAMILTON, NJ</t>
  </si>
  <si>
    <t>BOONTON TWP, NJ</t>
  </si>
  <si>
    <t>MORRISTOWN, NJ</t>
  </si>
  <si>
    <t>25 SADDLE RD</t>
  </si>
  <si>
    <t>GREATER MORRISTOWN YMCA INC</t>
  </si>
  <si>
    <t>79 HORSEHILL RD</t>
  </si>
  <si>
    <t>23 SADDLE RD</t>
  </si>
  <si>
    <t>DENVILLE, NJ</t>
  </si>
  <si>
    <t>65 SUMMIT AVE</t>
  </si>
  <si>
    <t>107 NO BELAIR AVE</t>
  </si>
  <si>
    <t>FERULLO, THOMAS H/TRACY</t>
  </si>
  <si>
    <t>77 HENDRICKS DR</t>
  </si>
  <si>
    <t>76 COUNTRYWOOD DR</t>
  </si>
  <si>
    <t>3 QUINLISK RD</t>
  </si>
  <si>
    <t>19 QUINLISK RD</t>
  </si>
  <si>
    <t>PONTORIERO, ROSANNA</t>
  </si>
  <si>
    <t>281 MALAPARDIS RD</t>
  </si>
  <si>
    <t>OWNER UNKNOWN C/O HANOVER TWP</t>
  </si>
  <si>
    <t>WHIPANY, N.J.</t>
  </si>
  <si>
    <t>1373 ROUTE 10</t>
  </si>
  <si>
    <t>PETRO CONSUL INC</t>
  </si>
  <si>
    <t>6 EMERY AVE SUITE 1</t>
  </si>
  <si>
    <t>RANDOLPH, NJ</t>
  </si>
  <si>
    <t>1309 ROUTE 10</t>
  </si>
  <si>
    <t>RIDGE ROCK HOLDINGS LLC</t>
  </si>
  <si>
    <t>22 CARASALJO DR</t>
  </si>
  <si>
    <t>LAKEWOOD, NJ</t>
  </si>
  <si>
    <t>354 EISENHOWER PKY/S 1900</t>
  </si>
  <si>
    <t>C0004</t>
  </si>
  <si>
    <t>9 RIDGEDALE AVE</t>
  </si>
  <si>
    <t>76 PLEASANT AVE</t>
  </si>
  <si>
    <t>SPILLERT, META V.</t>
  </si>
  <si>
    <t>10 EDGEMONT RD</t>
  </si>
  <si>
    <t>WEST ORANGE, N.J.</t>
  </si>
  <si>
    <t>WEST ORANGE, NJ</t>
  </si>
  <si>
    <t>MADISON, NJ</t>
  </si>
  <si>
    <t>9 FARVIEW AVE</t>
  </si>
  <si>
    <t>10 PARKER AVE</t>
  </si>
  <si>
    <t>3 HORSEHILL RD</t>
  </si>
  <si>
    <t>PILLION, SUE</t>
  </si>
  <si>
    <t>RIDGEDALE AVE</t>
  </si>
  <si>
    <t>HANOVER HILLS C/O CASI, INC</t>
  </si>
  <si>
    <t>5701 BERKSHIRE VALLEY RD</t>
  </si>
  <si>
    <t>OAK RIDGE, NJ</t>
  </si>
  <si>
    <t>THE GREATER MORRISTOWN YMCA</t>
  </si>
  <si>
    <t>242-244 RIDGEDALE AVE</t>
  </si>
  <si>
    <t>LIDL US OPERATIONS LLC</t>
  </si>
  <si>
    <t>3500 S CLARK ST</t>
  </si>
  <si>
    <t>ARLINGTON, VA</t>
  </si>
  <si>
    <t>88 HANOVER AVE</t>
  </si>
  <si>
    <t>OSTER HANOVER LAND LLC</t>
  </si>
  <si>
    <t>429 SYLVAN AVE POBX1708</t>
  </si>
  <si>
    <t>ENGLEWOOD CLIFFS, NJ</t>
  </si>
  <si>
    <t>MORRISTOWN &amp; ERIE RR</t>
  </si>
  <si>
    <t>PO BOX 2206 R</t>
  </si>
  <si>
    <t>350 WHIPPANY RD</t>
  </si>
  <si>
    <t>RICHARDS FARM STAND LLC</t>
  </si>
  <si>
    <t>352 WHIPPANY RD</t>
  </si>
  <si>
    <t>VAN BOSSUYT, E. C/O R. VANBOSSUYT</t>
  </si>
  <si>
    <t>125 WESTBORO RD</t>
  </si>
  <si>
    <t>UPTON, MA</t>
  </si>
  <si>
    <t>OFF TOWNSEND AVE</t>
  </si>
  <si>
    <t>HIGGINSON, WM B C/O J CARROLL</t>
  </si>
  <si>
    <t>860 WEST FRONT ST</t>
  </si>
  <si>
    <t>RED BANK, NJ</t>
  </si>
  <si>
    <t>12 TOWNSEND AVE</t>
  </si>
  <si>
    <t>KW KREATIONS LLC</t>
  </si>
  <si>
    <t>19 ORCHARD PL</t>
  </si>
  <si>
    <t>4 E. FREDERICK PL</t>
  </si>
  <si>
    <t>4.E. FREDERICK PL LLC</t>
  </si>
  <si>
    <t>2 E.FREDERICK PL</t>
  </si>
  <si>
    <t>9 BUCKINGHAM RD</t>
  </si>
  <si>
    <t>LAKE HIAWATHA, NJ</t>
  </si>
  <si>
    <t>167 CEDAR KNOLLS RD</t>
  </si>
  <si>
    <t>PETTI, PASQUALE III</t>
  </si>
  <si>
    <t>149 CEDAR KNOLLS RD</t>
  </si>
  <si>
    <t>ONE TWELVE CORP C/O D MANDELBAUM</t>
  </si>
  <si>
    <t>1000 ROUTE 10</t>
  </si>
  <si>
    <t>FAIRFIELD, NJ</t>
  </si>
  <si>
    <t>109 RIDGEDALE AVE</t>
  </si>
  <si>
    <t>CALLE, EDGAR U</t>
  </si>
  <si>
    <t>105 RIDGEDALE AVE</t>
  </si>
  <si>
    <t>ATLANTA, GA</t>
  </si>
  <si>
    <t>FEDSCHUN, VICTOR/JOAN</t>
  </si>
  <si>
    <t>17 BOULEVARD RD</t>
  </si>
  <si>
    <t>13 BOULEVARD RD</t>
  </si>
  <si>
    <t>15 BOULEVARD RD</t>
  </si>
  <si>
    <t>ROUTE 287, REAR</t>
  </si>
  <si>
    <t>SETTIMO &amp; THE THREE MUSKETEERS, LLC</t>
  </si>
  <si>
    <t>64 SOUTH JEFERSON RD</t>
  </si>
  <si>
    <t>EDEN LN</t>
  </si>
  <si>
    <t>JCP&amp;L ATT:FIRSTENERGY SERVICE CO</t>
  </si>
  <si>
    <t>PO BOX 4747</t>
  </si>
  <si>
    <t>OAKBROOK, IL</t>
  </si>
  <si>
    <t>JCP&amp;L ATTN:FIRSTENERGY SERVICE CO</t>
  </si>
  <si>
    <t>TFJ SIXTY SO JEFFERSON ASSOCIATES L</t>
  </si>
  <si>
    <t>1735 MARKET ST SUITE A400</t>
  </si>
  <si>
    <t>PHILADELPHIA, PA</t>
  </si>
  <si>
    <t>58 SO JEFFERSON RD</t>
  </si>
  <si>
    <t>41 RIDGEDALE AVE</t>
  </si>
  <si>
    <t>SADDLELAKE REAL ESTATE LLC</t>
  </si>
  <si>
    <t>37 RIDGEDALE AVE</t>
  </si>
  <si>
    <t>11 RIDGEDALE AVE</t>
  </si>
  <si>
    <t>S.E. MORRIS CTY.MUNICIPAL UTILTIES</t>
  </si>
  <si>
    <t>1189 ROUTE 10</t>
  </si>
  <si>
    <t>TOWN OF MORRISTOWN/FINANCE DEPT.</t>
  </si>
  <si>
    <t>SO JEFFERSON RD</t>
  </si>
  <si>
    <t>64 SOUTH JEFFERSON RD</t>
  </si>
  <si>
    <t>43 MALAPARDIS RD</t>
  </si>
  <si>
    <t>MOROZ, JEAN M</t>
  </si>
  <si>
    <t>41 MALAPARDIS RD</t>
  </si>
  <si>
    <t>20 SO JEFFERSON RD</t>
  </si>
  <si>
    <t>16SJW LLC</t>
  </si>
  <si>
    <t>16-20 SO JEFFERSON RD</t>
  </si>
  <si>
    <t>E. HANOVER, NJ</t>
  </si>
  <si>
    <t>EASTMANS ROAD, PARSIPPANY</t>
  </si>
  <si>
    <t>PARSIPPANY CAMPUS C/O MACK-CALI</t>
  </si>
  <si>
    <t>101 HUDSON ST, SUITE 2000</t>
  </si>
  <si>
    <t>JERSEY CITY, NJ</t>
  </si>
  <si>
    <t>NO JEFFERSON RD,OFF</t>
  </si>
  <si>
    <t>COLUMBIA GAS TRANS.CORP.C/O TRANSCA</t>
  </si>
  <si>
    <t>PO BOX 2168-PRTY TAX DEPT</t>
  </si>
  <si>
    <t>HOUSTON, TX</t>
  </si>
  <si>
    <t>112 NORTH JEFFERSON RD</t>
  </si>
  <si>
    <t>43 NYE AVE</t>
  </si>
  <si>
    <t>MARINO, MARYANNE TRUS &amp; DENISE TRUS</t>
  </si>
  <si>
    <t>112 NO JEFFERSON RD</t>
  </si>
  <si>
    <t>BIRCHWOOD MANOR, INC</t>
  </si>
  <si>
    <t>111 NO JEFFERSON RD</t>
  </si>
  <si>
    <t>105 NO JEFFERSON RD</t>
  </si>
  <si>
    <t>111 N JEFFERSON RD</t>
  </si>
  <si>
    <t>109 NO JEFFERSON RD</t>
  </si>
  <si>
    <t>121 NO JEFFERSON RD</t>
  </si>
  <si>
    <t>M &amp; M REALTY CO.</t>
  </si>
  <si>
    <t>112 N. JEFFERSON RD</t>
  </si>
  <si>
    <t>WHIPPANY,NJ</t>
  </si>
  <si>
    <t>15 EASTMANS RD</t>
  </si>
  <si>
    <t>MM VISIONS LLC</t>
  </si>
  <si>
    <t>46 NYE AVE</t>
  </si>
  <si>
    <t>38 NYE AVE</t>
  </si>
  <si>
    <t>CLC BUILDERS LLC</t>
  </si>
  <si>
    <t>1 QUAIL RUN</t>
  </si>
  <si>
    <t>32 NYE AVE</t>
  </si>
  <si>
    <t>95-99 JEFFERSON RD</t>
  </si>
  <si>
    <t>MARINO, MARYANNE &amp; DENISE TRUSTEES</t>
  </si>
  <si>
    <t>101 NO JEFFERSON RD</t>
  </si>
  <si>
    <t>36 NYE AVE</t>
  </si>
  <si>
    <t>HANOVER 3201 REALTY LLC C/O MACK</t>
  </si>
  <si>
    <t>ROUTE 287</t>
  </si>
  <si>
    <t>NINE ENTIN LLC</t>
  </si>
  <si>
    <t>910 E COUNTY LN RD, #201</t>
  </si>
  <si>
    <t>1298 ROUTE 10</t>
  </si>
  <si>
    <t>MADISON COUNTY LAND LLC%ONYX EQUITI</t>
  </si>
  <si>
    <t>900 ROUTE 9 N STE 400</t>
  </si>
  <si>
    <t>WOODBRIDGE, NJ</t>
  </si>
  <si>
    <t>1294 ROUTE 10</t>
  </si>
  <si>
    <t>HANOVER PARK PARTNERSHIP LLC</t>
  </si>
  <si>
    <t>415 LAMBIANCE DR    203</t>
  </si>
  <si>
    <t>LONGBOAT KEY, FL</t>
  </si>
  <si>
    <t>1400 ROUTE 10</t>
  </si>
  <si>
    <t>1402 ROUTE 10</t>
  </si>
  <si>
    <t>101 HUDSON ST STE 2000</t>
  </si>
  <si>
    <t>F02</t>
  </si>
  <si>
    <t>162 CEDAR KNOLLS RD</t>
  </si>
  <si>
    <t>DARFF-ONE LLC</t>
  </si>
  <si>
    <t>2 PEACH TREE LN</t>
  </si>
  <si>
    <t>CHESTER, NJ</t>
  </si>
  <si>
    <t>156 PARK AVE</t>
  </si>
  <si>
    <t>SHEN, SU FENG</t>
  </si>
  <si>
    <t>154 PARK AVE</t>
  </si>
  <si>
    <t>SHEN SU FENG</t>
  </si>
  <si>
    <t>30 HARRIET DR</t>
  </si>
  <si>
    <t>REAR PERRY ST</t>
  </si>
  <si>
    <t>ELSON, PETER</t>
  </si>
  <si>
    <t>45 FIELDSTONE DR</t>
  </si>
  <si>
    <t>47 PARSIPPANY RD</t>
  </si>
  <si>
    <t>SKIBIC AMBROSE REALTY LLC</t>
  </si>
  <si>
    <t>REAR ROUTE 10</t>
  </si>
  <si>
    <t>CHARLOTTE, NC</t>
  </si>
  <si>
    <t>OFF RTE 10</t>
  </si>
  <si>
    <t>MATLAGA, STEPHEN</t>
  </si>
  <si>
    <t>WHITE BIRCH ASSOCIATES LLC</t>
  </si>
  <si>
    <t>HANOVER TOWNE CENTER LLC</t>
  </si>
  <si>
    <t>80 S JEFFERSON RD STE 202</t>
  </si>
  <si>
    <t>RIVER PARK BUSINESS CENTER, LLC</t>
  </si>
  <si>
    <t>SCHLEIFER REALTY</t>
  </si>
  <si>
    <t>OFF MT PLEASANT AVE</t>
  </si>
  <si>
    <t>20 NORTH JEFFERSON RD</t>
  </si>
  <si>
    <t>31-49 LEGION PL</t>
  </si>
  <si>
    <t>9 MT PLEASANT AVE</t>
  </si>
  <si>
    <t>PINKIN,J.&amp;L.C/O 26 PARSIPPANY RD LL</t>
  </si>
  <si>
    <t>195 MORRISTOWN RD</t>
  </si>
  <si>
    <t>BASKING RIDGE, NJ</t>
  </si>
  <si>
    <t>26 PARSIPPANY RD</t>
  </si>
  <si>
    <t>26 PARSIPPANY ROAD LLC</t>
  </si>
  <si>
    <t>8 WHIPPANY RD</t>
  </si>
  <si>
    <t>9 WHIPPANY ROAD REAL ESTATE LLC</t>
  </si>
  <si>
    <t>9 WHIPPANY RD</t>
  </si>
  <si>
    <t>GORE ALONG WHIPPANY RIVER</t>
  </si>
  <si>
    <t>UNKNOWN</t>
  </si>
  <si>
    <t>HANOVER TWP, NJ</t>
  </si>
  <si>
    <t>WHIPPANY RD</t>
  </si>
  <si>
    <t>OAK RIDGE @ HANOVER%TAYLOR MGMT CO</t>
  </si>
  <si>
    <t>PO BOX 681312</t>
  </si>
  <si>
    <t>1101 APPLETON WAY</t>
  </si>
  <si>
    <t>256 WHIPPANY RD</t>
  </si>
  <si>
    <t>SAWMA FAMILY ASSOCIATES LP</t>
  </si>
  <si>
    <t>4 NORTHBRIDGE PL</t>
  </si>
  <si>
    <t>325 WHIPPANY RD</t>
  </si>
  <si>
    <t>FLEET HANOVER LLC</t>
  </si>
  <si>
    <t>237-A MILLBURN AVE</t>
  </si>
  <si>
    <t>MILLBURN, NJ</t>
  </si>
  <si>
    <t>21 PLEASANT VALLEY RD</t>
  </si>
  <si>
    <t>190 PARK AVE</t>
  </si>
  <si>
    <t>CEDAR KNOLLS ONE LLC</t>
  </si>
  <si>
    <t>80 S JEFFERSON RD, #202</t>
  </si>
  <si>
    <t>45 AIRPORT ROAD LLC</t>
  </si>
  <si>
    <t>EDISON, NJ</t>
  </si>
  <si>
    <t>399 THORNALL ST 15TH FL</t>
  </si>
  <si>
    <t>21 AIRPORT RD</t>
  </si>
  <si>
    <t>COLUMBIA ROAD, OFF</t>
  </si>
  <si>
    <t>COLUMBIA EXECUTIVE PLAZA ASSOC.</t>
  </si>
  <si>
    <t>820 MORRIS TPK.SUITE 301</t>
  </si>
  <si>
    <t>SHORT HILLS,  N.J.</t>
  </si>
  <si>
    <t>29 COLUMBIA RD</t>
  </si>
  <si>
    <t>29 HILLTOP CIR</t>
  </si>
  <si>
    <t>CRAVO, CESAR AUGUSTO &amp; ANA MARIA</t>
  </si>
  <si>
    <t>HILLTOP CIR</t>
  </si>
  <si>
    <t>100 BAYER BLVD</t>
  </si>
  <si>
    <t>PO BOX 80615</t>
  </si>
  <si>
    <t>INDIANAPOLIS, IN</t>
  </si>
  <si>
    <t>85 WHIPPANY RD</t>
  </si>
  <si>
    <t>COOPER LAND CO OF NJ INC</t>
  </si>
  <si>
    <t>57 WHIPPANY RD</t>
  </si>
  <si>
    <t>BAYER HEALTHCARE LLC</t>
  </si>
  <si>
    <t>53 WHIPPANY RD</t>
  </si>
  <si>
    <t>507 ROUTE 10</t>
  </si>
  <si>
    <t>COLUMBIA UNIV % ATTN ACCOUNTS PAYAB</t>
  </si>
  <si>
    <t>410W118 ST B230 MCODE3499</t>
  </si>
  <si>
    <t>NEW YORK, N.Y.</t>
  </si>
  <si>
    <t>NEWARK, NJ</t>
  </si>
  <si>
    <t>CASTELLANA, ANTHONY &amp; PHYLLIS</t>
  </si>
  <si>
    <t>409 ROUTE 10</t>
  </si>
  <si>
    <t>347 ROUTE 10</t>
  </si>
  <si>
    <t>LYNDHURST, NJ</t>
  </si>
  <si>
    <t>BLACK BROOK MEADOWS</t>
  </si>
  <si>
    <t>DM AIRPORTS, LTD/MORRISTOWN AIRPORT</t>
  </si>
  <si>
    <t>8 AIRPORT RD</t>
  </si>
  <si>
    <t>ALGONQUIN PKWY</t>
  </si>
  <si>
    <t>MACKENZIE, WILLIAM/CHARLES</t>
  </si>
  <si>
    <t>3620 LINCOLN AVE</t>
  </si>
  <si>
    <t>ALLENTOWN, PA</t>
  </si>
  <si>
    <t>LAYTON, JACQUELINE C</t>
  </si>
  <si>
    <t>653 MONTGOMERY RD</t>
  </si>
  <si>
    <t>HILLSBOROUGH,  NJ</t>
  </si>
  <si>
    <t>COLUMBIA RD</t>
  </si>
  <si>
    <t>ELIAS, STEPHEN &amp; PHILOMENA</t>
  </si>
  <si>
    <t>21 NORTH ST</t>
  </si>
  <si>
    <t>BLACK BROOK</t>
  </si>
  <si>
    <t>LODI, NJ</t>
  </si>
  <si>
    <t>80 ROUTE 10</t>
  </si>
  <si>
    <t>UNIVERSAL INVESTMENT PROPERTIES INC</t>
  </si>
  <si>
    <t>PO BOX 398</t>
  </si>
  <si>
    <t>94 ROUTE 10</t>
  </si>
  <si>
    <t>120 ALGONQUIN PKWY</t>
  </si>
  <si>
    <t>HARTZ MT.HANOVER SQ. ATT:P RESCH</t>
  </si>
  <si>
    <t>400 PLAZA DR</t>
  </si>
  <si>
    <t>SEACAUCUS, NJ</t>
  </si>
  <si>
    <t>106 GRIFFITH DR</t>
  </si>
  <si>
    <t>DUBIJ, ANDREW/BONNIE</t>
  </si>
  <si>
    <t>262 ROUTE 10</t>
  </si>
  <si>
    <t>EPCO SERVICES, INC.C/O GAIL COLLINS</t>
  </si>
  <si>
    <t>72 HENNING TER</t>
  </si>
  <si>
    <t>510 ROUTE 10</t>
  </si>
  <si>
    <t>2H, LLC</t>
  </si>
  <si>
    <t>476 ROUTE 10</t>
  </si>
  <si>
    <t>WHIPPANY VILLAGE PARTNERS LLC</t>
  </si>
  <si>
    <t>125 CHUBB AVE #200S</t>
  </si>
  <si>
    <t>596 ROUTE 10</t>
  </si>
  <si>
    <t>D'AURIA,ANTHONY</t>
  </si>
  <si>
    <t>504 SPRING VALLEY RD</t>
  </si>
  <si>
    <t>REAR 494 RTE 10</t>
  </si>
  <si>
    <t>30 HIGHLAND AVE</t>
  </si>
  <si>
    <t>COHEN, EPHRAIN &amp; MARYANN</t>
  </si>
  <si>
    <t>26 HIGHLAND AVE</t>
  </si>
  <si>
    <t>10 BAIRD PL</t>
  </si>
  <si>
    <t>97 LOUIS ST</t>
  </si>
  <si>
    <t>99 LOUIS ST</t>
  </si>
  <si>
    <t>YANOTTA, ARLENE ZAGURSKY</t>
  </si>
  <si>
    <t>100 LOUIS ST</t>
  </si>
  <si>
    <t>LOUIS STREET ASSOCIATES</t>
  </si>
  <si>
    <t>302D CLARK ST</t>
  </si>
  <si>
    <t>WESTFIELD, NJ</t>
  </si>
  <si>
    <t>REAR REYNOLDS AVE</t>
  </si>
  <si>
    <t>1 TOMPKINS PL</t>
  </si>
  <si>
    <t>TOMPKINS, KENNETH G</t>
  </si>
  <si>
    <t>25 HANDZEL RD</t>
  </si>
  <si>
    <t>21 HANDZEL RD</t>
  </si>
  <si>
    <t>GENOBLE, LEONORA</t>
  </si>
  <si>
    <t>262 PARSIPPANY RD</t>
  </si>
  <si>
    <t>BT NEWYO LLC C/O UNITED PARCEL SERV</t>
  </si>
  <si>
    <t>55 GLENLAKE PKWY</t>
  </si>
  <si>
    <t>161 BEE MEADOW PKWY</t>
  </si>
  <si>
    <t>CHANG, DENG-RUEY/FANG, WEIYA</t>
  </si>
  <si>
    <t>199 REYNOLDS AVE</t>
  </si>
  <si>
    <t>COLUMBIA GAS TRANS.CORP C/O TRANSCA</t>
  </si>
  <si>
    <t>31 KEARNEY AVE</t>
  </si>
  <si>
    <t>KHRAPKO, OKSANA</t>
  </si>
  <si>
    <t>44-46 WASHINGTON AVE</t>
  </si>
  <si>
    <t>MC BRIDE, KATHLEEN</t>
  </si>
  <si>
    <t>44 WATSON AVE</t>
  </si>
  <si>
    <t>74 KEARNEY AVE</t>
  </si>
  <si>
    <t>FIDALGO, ALEXANDER &amp; NANCY</t>
  </si>
  <si>
    <t>75 KEARNEY AVE</t>
  </si>
  <si>
    <t>LONGO DAUGHTERS TRUST</t>
  </si>
  <si>
    <t>73 KEARNEY AVE</t>
  </si>
  <si>
    <t>29 REYNOLDS AVE</t>
  </si>
  <si>
    <t>OJEDA, IRVING/ABAD, BLANCA</t>
  </si>
  <si>
    <t>92 1/2 MARINE ST</t>
  </si>
  <si>
    <t>9 KITCHELL PL</t>
  </si>
  <si>
    <t>691 ROUTE 10</t>
  </si>
  <si>
    <t>DELAWANNA GARAGE LLC</t>
  </si>
  <si>
    <t>92 MT PLEASANT AVE</t>
  </si>
  <si>
    <t>135 PARSIPPANY RD</t>
  </si>
  <si>
    <t>HOWELL, JOSEPH</t>
  </si>
  <si>
    <t>23 SUNRISE DR</t>
  </si>
  <si>
    <t>774 ROUTE 10</t>
  </si>
  <si>
    <t>OUTDOOR SYSTEMS INC</t>
  </si>
  <si>
    <t>185  ROUTE 46</t>
  </si>
  <si>
    <t>10 NO JEFFERSON RD</t>
  </si>
  <si>
    <t>THE GRANDE AT HANOVER %INTEGRA MGMT</t>
  </si>
  <si>
    <t>200 VALLEY RD SUITE 203</t>
  </si>
  <si>
    <t>MT. ARLINGTON, NJ</t>
  </si>
  <si>
    <t>HANOVER RENAISSANCE, LLC</t>
  </si>
  <si>
    <t>160 ESSEX ST, STE 210</t>
  </si>
  <si>
    <t>12 NORTH JEFFERSON RD</t>
  </si>
  <si>
    <t>BRUNNER, FRED C THIRD</t>
  </si>
  <si>
    <t>5 WOODLAND AVE</t>
  </si>
  <si>
    <t>SUNRISE DR</t>
  </si>
  <si>
    <t>SUNRISE AT HANOVER C/O INTEGRA MAGN</t>
  </si>
  <si>
    <t>MT ARLINGTON, NJ</t>
  </si>
  <si>
    <t>9 LILLIAN PL</t>
  </si>
  <si>
    <t>MARINO, ANNA F</t>
  </si>
  <si>
    <t>78 NO JEFFERSON RD</t>
  </si>
  <si>
    <t>BARCELLONA, GAETANO</t>
  </si>
  <si>
    <t>163 PARSIPPANY RD</t>
  </si>
  <si>
    <t>10 WOODLAND AVE</t>
  </si>
  <si>
    <t>GRAVES, WILLIAM &amp; ALICE</t>
  </si>
  <si>
    <t>24 WOODLAND AVE</t>
  </si>
  <si>
    <t>66 NO JEFFERSON RD</t>
  </si>
  <si>
    <t>HANOVER RIDGE CONDOMINIUM ASSN INC</t>
  </si>
  <si>
    <t>200 VALLEY RD, STE 203</t>
  </si>
  <si>
    <t>WOODLAND AVE REAR</t>
  </si>
  <si>
    <t>UNKOWN C/O TWP OF HANOVER</t>
  </si>
  <si>
    <t>B0X 250</t>
  </si>
  <si>
    <t>223 PARSIPPANY RD</t>
  </si>
  <si>
    <t>110 NO JEFFERSON RD</t>
  </si>
  <si>
    <t>Block</t>
  </si>
  <si>
    <t>Lot</t>
  </si>
  <si>
    <t>Qualifier</t>
  </si>
  <si>
    <t>Class</t>
  </si>
  <si>
    <t>-</t>
  </si>
  <si>
    <t>Location</t>
  </si>
  <si>
    <t>Owner</t>
  </si>
  <si>
    <t>Street Address</t>
  </si>
  <si>
    <t>Town</t>
  </si>
  <si>
    <t>Zip</t>
  </si>
  <si>
    <t>Land</t>
  </si>
  <si>
    <t>Improvement</t>
  </si>
  <si>
    <t>Total</t>
  </si>
  <si>
    <t xml:space="preserve"> Exemption</t>
  </si>
  <si>
    <t>District</t>
  </si>
  <si>
    <t xml:space="preserve"> Tax Exempt</t>
  </si>
  <si>
    <t>Deduction</t>
  </si>
  <si>
    <t>Senior</t>
  </si>
  <si>
    <t>Veteran</t>
  </si>
  <si>
    <t>Widow</t>
  </si>
  <si>
    <t>Spouse</t>
  </si>
  <si>
    <t>Disabled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</si>
</sst>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8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18" fillId="0" borderId="0" xfId="0" applyFont="1" applyBorder="1" applyAlignment="1">
      <alignment horizontal="center"/>
    </xf>
    <xf numFmtId="43" fontId="0" fillId="0" borderId="0" xfId="1" applyFont="1"/>
    <xf numFmtId="164" fontId="0" fillId="0" borderId="0" xfId="1" applyNumberFormat="1" applyFont="1"/>
    <xf numFmtId="0" fontId="16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43" fontId="0" fillId="0" borderId="0" xfId="0" applyNumberFormat="1"/>
    <xf numFmtId="164" fontId="0" fillId="0" borderId="11" xfId="1" applyNumberFormat="1" applyFont="1" applyBorder="1" applyAlignment="1">
      <alignment horizontal="center"/>
    </xf>
    <xf numFmtId="43" fontId="0" fillId="0" borderId="11" xfId="1" applyNumberFormat="1" applyFont="1" applyBorder="1" applyAlignment="1">
      <alignment horizontal="center"/>
    </xf>
    <xf numFmtId="43" fontId="0" fillId="0" borderId="0" xfId="1" applyNumberFormat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5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4" width="10.5703125" customWidth="1"/>
    <col min="5" max="5" width="29.7109375" customWidth="1"/>
    <col min="6" max="6" width="41.7109375" customWidth="1"/>
    <col min="7" max="7" width="27.28515625" customWidth="1"/>
    <col min="8" max="8" width="23.28515625" customWidth="1"/>
    <col min="9" max="9" width="8.7109375" customWidth="1"/>
    <col min="10" max="12" width="14.7109375" customWidth="1"/>
    <col min="13" max="13" width="10.7109375" customWidth="1"/>
    <col min="14" max="14" width="9.140625" customWidth="1"/>
    <col min="15" max="15" width="15.28515625" customWidth="1"/>
    <col min="16" max="16" width="10.5703125" customWidth="1"/>
    <col min="17" max="21" width="9.140625" customWidth="1"/>
    <col min="22" max="22" width="14" customWidth="1"/>
  </cols>
  <sheetData>
    <row r="1" spans="1:22" x14ac:dyDescent="0.25">
      <c r="A1" s="1" t="s">
        <v>410</v>
      </c>
      <c r="B1" s="1" t="s">
        <v>411</v>
      </c>
      <c r="C1" s="1" t="s">
        <v>412</v>
      </c>
      <c r="D1" s="1" t="s">
        <v>413</v>
      </c>
      <c r="E1" s="1" t="s">
        <v>415</v>
      </c>
      <c r="F1" s="1" t="s">
        <v>416</v>
      </c>
      <c r="G1" s="1" t="s">
        <v>417</v>
      </c>
      <c r="H1" s="1" t="s">
        <v>418</v>
      </c>
      <c r="I1" s="1" t="s">
        <v>419</v>
      </c>
      <c r="J1" s="1" t="s">
        <v>420</v>
      </c>
      <c r="K1" s="1" t="s">
        <v>421</v>
      </c>
      <c r="L1" s="1" t="s">
        <v>422</v>
      </c>
      <c r="M1" s="6" t="s">
        <v>423</v>
      </c>
      <c r="N1" s="1" t="s">
        <v>424</v>
      </c>
      <c r="O1" s="1" t="s">
        <v>425</v>
      </c>
      <c r="P1" s="1" t="s">
        <v>426</v>
      </c>
      <c r="Q1" s="7" t="s">
        <v>427</v>
      </c>
      <c r="R1" s="7" t="s">
        <v>428</v>
      </c>
      <c r="S1" s="7" t="s">
        <v>429</v>
      </c>
      <c r="T1" s="7" t="s">
        <v>430</v>
      </c>
      <c r="U1" s="7" t="s">
        <v>431</v>
      </c>
      <c r="V1" s="7" t="s">
        <v>0</v>
      </c>
    </row>
    <row r="2" spans="1:22" x14ac:dyDescent="0.25">
      <c r="A2" s="3"/>
      <c r="B2" s="3"/>
      <c r="C2" s="3"/>
      <c r="D2" s="3"/>
      <c r="V2" s="8"/>
    </row>
    <row r="3" spans="1:22" x14ac:dyDescent="0.25">
      <c r="A3" s="2" t="str">
        <f t="shared" ref="A3:A8" si="0">"103"</f>
        <v>103</v>
      </c>
      <c r="B3" s="2" t="str">
        <f>"17.M"</f>
        <v>17.M</v>
      </c>
      <c r="C3" s="2" t="s">
        <v>414</v>
      </c>
      <c r="D3" s="2" t="str">
        <f t="shared" ref="D3:D34" si="1">"1"</f>
        <v>1</v>
      </c>
      <c r="E3" t="s">
        <v>3</v>
      </c>
      <c r="F3" t="s">
        <v>4</v>
      </c>
      <c r="G3" t="s">
        <v>5</v>
      </c>
      <c r="H3" t="s">
        <v>1</v>
      </c>
      <c r="I3" t="str">
        <f t="shared" ref="I3:I10" si="2">"07950"</f>
        <v>07950</v>
      </c>
      <c r="J3" s="5">
        <v>0</v>
      </c>
      <c r="K3" s="5">
        <v>0</v>
      </c>
      <c r="L3" s="5">
        <v>0</v>
      </c>
      <c r="M3" s="5">
        <v>0</v>
      </c>
      <c r="N3" s="2" t="s">
        <v>2</v>
      </c>
      <c r="O3" s="5">
        <v>0</v>
      </c>
      <c r="P3" s="5">
        <v>0</v>
      </c>
      <c r="Q3" s="4">
        <v>0</v>
      </c>
      <c r="R3" s="4">
        <v>0</v>
      </c>
      <c r="S3" s="4">
        <v>0</v>
      </c>
      <c r="T3" s="4">
        <v>0</v>
      </c>
      <c r="U3" s="4">
        <v>0</v>
      </c>
      <c r="V3" s="11">
        <v>0.02</v>
      </c>
    </row>
    <row r="4" spans="1:22" x14ac:dyDescent="0.25">
      <c r="A4" s="2" t="str">
        <f t="shared" si="0"/>
        <v>103</v>
      </c>
      <c r="B4" s="2" t="str">
        <f>"18.M"</f>
        <v>18.M</v>
      </c>
      <c r="C4" s="2" t="s">
        <v>414</v>
      </c>
      <c r="D4" s="2" t="str">
        <f t="shared" si="1"/>
        <v>1</v>
      </c>
      <c r="E4" t="s">
        <v>3</v>
      </c>
      <c r="F4" t="s">
        <v>6</v>
      </c>
      <c r="G4" t="s">
        <v>7</v>
      </c>
      <c r="H4" t="s">
        <v>1</v>
      </c>
      <c r="I4" t="str">
        <f t="shared" si="2"/>
        <v>07950</v>
      </c>
      <c r="J4" s="5">
        <v>0</v>
      </c>
      <c r="K4" s="5">
        <v>0</v>
      </c>
      <c r="L4" s="5">
        <v>0</v>
      </c>
      <c r="M4" s="5">
        <v>0</v>
      </c>
      <c r="N4" s="2" t="s">
        <v>2</v>
      </c>
      <c r="O4" s="5">
        <v>0</v>
      </c>
      <c r="P4" s="5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11">
        <v>0.08</v>
      </c>
    </row>
    <row r="5" spans="1:22" x14ac:dyDescent="0.25">
      <c r="A5" s="2" t="str">
        <f t="shared" si="0"/>
        <v>103</v>
      </c>
      <c r="B5" s="2" t="str">
        <f>"19.M"</f>
        <v>19.M</v>
      </c>
      <c r="C5" s="2" t="s">
        <v>414</v>
      </c>
      <c r="D5" s="2" t="str">
        <f t="shared" si="1"/>
        <v>1</v>
      </c>
      <c r="E5" t="s">
        <v>3</v>
      </c>
      <c r="F5" t="s">
        <v>8</v>
      </c>
      <c r="G5" t="s">
        <v>9</v>
      </c>
      <c r="H5" t="s">
        <v>1</v>
      </c>
      <c r="I5" t="str">
        <f t="shared" si="2"/>
        <v>07950</v>
      </c>
      <c r="J5" s="5">
        <v>0</v>
      </c>
      <c r="K5" s="5">
        <v>0</v>
      </c>
      <c r="L5" s="5">
        <v>0</v>
      </c>
      <c r="M5" s="5">
        <v>0</v>
      </c>
      <c r="N5" s="2" t="s">
        <v>2</v>
      </c>
      <c r="O5" s="5">
        <v>0</v>
      </c>
      <c r="P5" s="5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11">
        <v>0.35</v>
      </c>
    </row>
    <row r="6" spans="1:22" x14ac:dyDescent="0.25">
      <c r="A6" s="2" t="str">
        <f t="shared" si="0"/>
        <v>103</v>
      </c>
      <c r="B6" s="2" t="str">
        <f>"20.M"</f>
        <v>20.M</v>
      </c>
      <c r="C6" s="2" t="s">
        <v>414</v>
      </c>
      <c r="D6" s="2" t="str">
        <f t="shared" si="1"/>
        <v>1</v>
      </c>
      <c r="E6" t="s">
        <v>3</v>
      </c>
      <c r="F6" t="s">
        <v>10</v>
      </c>
      <c r="G6" t="s">
        <v>11</v>
      </c>
      <c r="H6" t="s">
        <v>1</v>
      </c>
      <c r="I6" t="str">
        <f t="shared" si="2"/>
        <v>07950</v>
      </c>
      <c r="J6" s="5">
        <v>0</v>
      </c>
      <c r="K6" s="5">
        <v>0</v>
      </c>
      <c r="L6" s="5">
        <v>0</v>
      </c>
      <c r="M6" s="5">
        <v>0</v>
      </c>
      <c r="N6" s="2" t="s">
        <v>2</v>
      </c>
      <c r="O6" s="5">
        <v>0</v>
      </c>
      <c r="P6" s="5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11">
        <v>0.21</v>
      </c>
    </row>
    <row r="7" spans="1:22" x14ac:dyDescent="0.25">
      <c r="A7" s="2" t="str">
        <f t="shared" si="0"/>
        <v>103</v>
      </c>
      <c r="B7" s="2" t="str">
        <f>"21.M"</f>
        <v>21.M</v>
      </c>
      <c r="C7" s="2" t="s">
        <v>414</v>
      </c>
      <c r="D7" s="2" t="str">
        <f t="shared" si="1"/>
        <v>1</v>
      </c>
      <c r="E7" t="s">
        <v>3</v>
      </c>
      <c r="F7" t="s">
        <v>12</v>
      </c>
      <c r="G7" t="s">
        <v>13</v>
      </c>
      <c r="H7" t="s">
        <v>1</v>
      </c>
      <c r="I7" t="str">
        <f t="shared" si="2"/>
        <v>07950</v>
      </c>
      <c r="J7" s="5">
        <v>0</v>
      </c>
      <c r="K7" s="5">
        <v>0</v>
      </c>
      <c r="L7" s="5">
        <v>0</v>
      </c>
      <c r="M7" s="5">
        <v>0</v>
      </c>
      <c r="N7" s="2" t="s">
        <v>2</v>
      </c>
      <c r="O7" s="5">
        <v>0</v>
      </c>
      <c r="P7" s="5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11">
        <v>0.17</v>
      </c>
    </row>
    <row r="8" spans="1:22" x14ac:dyDescent="0.25">
      <c r="A8" s="2" t="str">
        <f t="shared" si="0"/>
        <v>103</v>
      </c>
      <c r="B8" s="2" t="str">
        <f>"22.M"</f>
        <v>22.M</v>
      </c>
      <c r="C8" s="2" t="s">
        <v>414</v>
      </c>
      <c r="D8" s="2" t="str">
        <f t="shared" si="1"/>
        <v>1</v>
      </c>
      <c r="E8" t="s">
        <v>3</v>
      </c>
      <c r="F8" t="s">
        <v>14</v>
      </c>
      <c r="G8" t="s">
        <v>15</v>
      </c>
      <c r="H8" t="s">
        <v>1</v>
      </c>
      <c r="I8" t="str">
        <f t="shared" si="2"/>
        <v>07950</v>
      </c>
      <c r="J8" s="5">
        <v>0</v>
      </c>
      <c r="K8" s="5">
        <v>0</v>
      </c>
      <c r="L8" s="5">
        <v>0</v>
      </c>
      <c r="M8" s="5">
        <v>0</v>
      </c>
      <c r="N8" s="2" t="s">
        <v>2</v>
      </c>
      <c r="O8" s="5">
        <v>0</v>
      </c>
      <c r="P8" s="5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11">
        <v>0.05</v>
      </c>
    </row>
    <row r="9" spans="1:22" x14ac:dyDescent="0.25">
      <c r="A9" s="2" t="str">
        <f>"201"</f>
        <v>201</v>
      </c>
      <c r="B9" s="2" t="str">
        <f>"9"</f>
        <v>9</v>
      </c>
      <c r="C9" s="2" t="s">
        <v>414</v>
      </c>
      <c r="D9" s="2" t="str">
        <f t="shared" si="1"/>
        <v>1</v>
      </c>
      <c r="E9" t="s">
        <v>18</v>
      </c>
      <c r="F9" t="s">
        <v>19</v>
      </c>
      <c r="G9" t="s">
        <v>18</v>
      </c>
      <c r="H9" t="s">
        <v>1</v>
      </c>
      <c r="I9" t="str">
        <f t="shared" si="2"/>
        <v>07950</v>
      </c>
      <c r="J9" s="5">
        <v>0</v>
      </c>
      <c r="K9" s="5">
        <v>0</v>
      </c>
      <c r="L9" s="5">
        <v>0</v>
      </c>
      <c r="M9" s="5">
        <v>0</v>
      </c>
      <c r="N9" s="2" t="s">
        <v>2</v>
      </c>
      <c r="O9" s="5">
        <v>0</v>
      </c>
      <c r="P9" s="5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11">
        <v>0.02</v>
      </c>
    </row>
    <row r="10" spans="1:22" x14ac:dyDescent="0.25">
      <c r="A10" s="2" t="str">
        <f>"202"</f>
        <v>202</v>
      </c>
      <c r="B10" s="2" t="str">
        <f>"17.01"</f>
        <v>17.01</v>
      </c>
      <c r="C10" s="2" t="s">
        <v>414</v>
      </c>
      <c r="D10" s="2" t="str">
        <f t="shared" si="1"/>
        <v>1</v>
      </c>
      <c r="E10" t="s">
        <v>20</v>
      </c>
      <c r="F10" t="s">
        <v>21</v>
      </c>
      <c r="G10" t="s">
        <v>20</v>
      </c>
      <c r="H10" t="s">
        <v>1</v>
      </c>
      <c r="I10" t="str">
        <f t="shared" si="2"/>
        <v>07950</v>
      </c>
      <c r="J10" s="5">
        <v>0</v>
      </c>
      <c r="K10" s="5">
        <v>0</v>
      </c>
      <c r="L10" s="5">
        <v>0</v>
      </c>
      <c r="M10" s="5">
        <v>0</v>
      </c>
      <c r="N10" s="2" t="s">
        <v>2</v>
      </c>
      <c r="O10" s="5">
        <v>0</v>
      </c>
      <c r="P10" s="5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11">
        <v>0.13</v>
      </c>
    </row>
    <row r="11" spans="1:22" x14ac:dyDescent="0.25">
      <c r="A11" s="2" t="str">
        <f>"303"</f>
        <v>303</v>
      </c>
      <c r="B11" s="2" t="str">
        <f>"12"</f>
        <v>12</v>
      </c>
      <c r="C11" s="2" t="s">
        <v>414</v>
      </c>
      <c r="D11" s="2" t="str">
        <f t="shared" si="1"/>
        <v>1</v>
      </c>
      <c r="E11" t="s">
        <v>25</v>
      </c>
      <c r="F11" t="s">
        <v>26</v>
      </c>
      <c r="G11" t="s">
        <v>27</v>
      </c>
      <c r="H11" t="s">
        <v>23</v>
      </c>
      <c r="I11" t="str">
        <f>"07927"</f>
        <v>07927</v>
      </c>
      <c r="J11" s="5">
        <v>201000</v>
      </c>
      <c r="K11" s="5">
        <v>0</v>
      </c>
      <c r="L11" s="5">
        <v>201000</v>
      </c>
      <c r="M11" s="5">
        <v>0</v>
      </c>
      <c r="N11" s="2" t="s">
        <v>2</v>
      </c>
      <c r="O11" s="5">
        <v>0</v>
      </c>
      <c r="P11" s="5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11">
        <v>20.100000000000001</v>
      </c>
    </row>
    <row r="12" spans="1:22" x14ac:dyDescent="0.25">
      <c r="A12" s="2" t="str">
        <f>"303"</f>
        <v>303</v>
      </c>
      <c r="B12" s="2" t="str">
        <f>"13.01"</f>
        <v>13.01</v>
      </c>
      <c r="C12" s="2" t="s">
        <v>414</v>
      </c>
      <c r="D12" s="2" t="str">
        <f t="shared" si="1"/>
        <v>1</v>
      </c>
      <c r="E12" t="s">
        <v>28</v>
      </c>
      <c r="F12" t="s">
        <v>29</v>
      </c>
      <c r="G12" t="s">
        <v>30</v>
      </c>
      <c r="H12" t="s">
        <v>31</v>
      </c>
      <c r="I12" t="str">
        <f>"43209"</f>
        <v>43209</v>
      </c>
      <c r="J12" s="5">
        <v>467500</v>
      </c>
      <c r="K12" s="5">
        <v>0</v>
      </c>
      <c r="L12" s="5">
        <v>467500</v>
      </c>
      <c r="M12" s="5">
        <v>0</v>
      </c>
      <c r="N12" s="2" t="s">
        <v>2</v>
      </c>
      <c r="O12" s="5">
        <v>0</v>
      </c>
      <c r="P12" s="5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11">
        <v>1.57</v>
      </c>
    </row>
    <row r="13" spans="1:22" x14ac:dyDescent="0.25">
      <c r="A13" s="2" t="str">
        <f>"501"</f>
        <v>501</v>
      </c>
      <c r="B13" s="2" t="str">
        <f>"8"</f>
        <v>8</v>
      </c>
      <c r="C13" s="2" t="s">
        <v>414</v>
      </c>
      <c r="D13" s="2" t="str">
        <f t="shared" si="1"/>
        <v>1</v>
      </c>
      <c r="E13" t="s">
        <v>32</v>
      </c>
      <c r="F13" t="s">
        <v>26</v>
      </c>
      <c r="G13" t="s">
        <v>27</v>
      </c>
      <c r="H13" t="s">
        <v>23</v>
      </c>
      <c r="I13" t="str">
        <f>"07927"</f>
        <v>07927</v>
      </c>
      <c r="J13" s="5">
        <v>296500</v>
      </c>
      <c r="K13" s="5">
        <v>0</v>
      </c>
      <c r="L13" s="5">
        <v>296500</v>
      </c>
      <c r="M13" s="5">
        <v>0</v>
      </c>
      <c r="N13" s="2" t="s">
        <v>2</v>
      </c>
      <c r="O13" s="5">
        <v>0</v>
      </c>
      <c r="P13" s="5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11">
        <v>1.43</v>
      </c>
    </row>
    <row r="14" spans="1:22" x14ac:dyDescent="0.25">
      <c r="A14" s="2" t="str">
        <f>"601"</f>
        <v>601</v>
      </c>
      <c r="B14" s="2" t="str">
        <f>"1"</f>
        <v>1</v>
      </c>
      <c r="C14" s="2" t="s">
        <v>35</v>
      </c>
      <c r="D14" s="2" t="str">
        <f t="shared" si="1"/>
        <v>1</v>
      </c>
      <c r="E14" t="s">
        <v>34</v>
      </c>
      <c r="F14" t="s">
        <v>36</v>
      </c>
      <c r="G14" t="s">
        <v>37</v>
      </c>
      <c r="H14" t="s">
        <v>24</v>
      </c>
      <c r="I14" t="str">
        <f>"07981"</f>
        <v>07981</v>
      </c>
      <c r="J14" s="5">
        <v>817500</v>
      </c>
      <c r="K14" s="5">
        <v>0</v>
      </c>
      <c r="L14" s="5">
        <v>817500</v>
      </c>
      <c r="M14" s="5">
        <v>0</v>
      </c>
      <c r="N14" s="2" t="s">
        <v>2</v>
      </c>
      <c r="O14" s="5">
        <v>0</v>
      </c>
      <c r="P14" s="5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11">
        <v>1.67</v>
      </c>
    </row>
    <row r="15" spans="1:22" x14ac:dyDescent="0.25">
      <c r="A15" s="2" t="str">
        <f>"601"</f>
        <v>601</v>
      </c>
      <c r="B15" s="2" t="str">
        <f>"1"</f>
        <v>1</v>
      </c>
      <c r="C15" s="2" t="s">
        <v>38</v>
      </c>
      <c r="D15" s="2" t="str">
        <f t="shared" si="1"/>
        <v>1</v>
      </c>
      <c r="E15" t="s">
        <v>34</v>
      </c>
      <c r="F15" t="s">
        <v>39</v>
      </c>
      <c r="G15" t="s">
        <v>37</v>
      </c>
      <c r="H15" t="s">
        <v>24</v>
      </c>
      <c r="I15" t="str">
        <f>"07981"</f>
        <v>07981</v>
      </c>
      <c r="J15" s="5">
        <v>63600</v>
      </c>
      <c r="K15" s="5">
        <v>0</v>
      </c>
      <c r="L15" s="5">
        <v>63600</v>
      </c>
      <c r="M15" s="5">
        <v>0</v>
      </c>
      <c r="N15" s="2" t="s">
        <v>2</v>
      </c>
      <c r="O15" s="5">
        <v>0</v>
      </c>
      <c r="P15" s="5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11">
        <v>6.36</v>
      </c>
    </row>
    <row r="16" spans="1:22" x14ac:dyDescent="0.25">
      <c r="A16" s="2" t="str">
        <f>"601"</f>
        <v>601</v>
      </c>
      <c r="B16" s="2" t="str">
        <f>"1"</f>
        <v>1</v>
      </c>
      <c r="C16" s="2" t="s">
        <v>40</v>
      </c>
      <c r="D16" s="2" t="str">
        <f t="shared" si="1"/>
        <v>1</v>
      </c>
      <c r="E16" t="s">
        <v>34</v>
      </c>
      <c r="F16" t="s">
        <v>41</v>
      </c>
      <c r="G16" t="s">
        <v>42</v>
      </c>
      <c r="H16" t="s">
        <v>24</v>
      </c>
      <c r="I16" t="str">
        <f>"07981"</f>
        <v>07981</v>
      </c>
      <c r="J16" s="5">
        <v>0</v>
      </c>
      <c r="K16" s="5">
        <v>0</v>
      </c>
      <c r="L16" s="5">
        <v>0</v>
      </c>
      <c r="M16" s="5">
        <v>0</v>
      </c>
      <c r="N16" s="2" t="s">
        <v>2</v>
      </c>
      <c r="O16" s="5">
        <v>0</v>
      </c>
      <c r="P16" s="5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11">
        <v>0</v>
      </c>
    </row>
    <row r="17" spans="1:22" x14ac:dyDescent="0.25">
      <c r="A17" s="2" t="str">
        <f>"601"</f>
        <v>601</v>
      </c>
      <c r="B17" s="2" t="str">
        <f>"4"</f>
        <v>4</v>
      </c>
      <c r="C17" s="2" t="s">
        <v>414</v>
      </c>
      <c r="D17" s="2" t="str">
        <f t="shared" si="1"/>
        <v>1</v>
      </c>
      <c r="E17" t="s">
        <v>43</v>
      </c>
      <c r="F17" t="s">
        <v>44</v>
      </c>
      <c r="G17" t="s">
        <v>45</v>
      </c>
      <c r="H17" t="s">
        <v>46</v>
      </c>
      <c r="I17" t="str">
        <f>"07039"</f>
        <v>07039</v>
      </c>
      <c r="J17" s="5">
        <v>0</v>
      </c>
      <c r="K17" s="5">
        <v>0</v>
      </c>
      <c r="L17" s="5">
        <v>0</v>
      </c>
      <c r="M17" s="5">
        <v>0</v>
      </c>
      <c r="N17" s="2" t="s">
        <v>2</v>
      </c>
      <c r="O17" s="5">
        <v>0</v>
      </c>
      <c r="P17" s="5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11">
        <v>4.8</v>
      </c>
    </row>
    <row r="18" spans="1:22" x14ac:dyDescent="0.25">
      <c r="A18" s="2" t="str">
        <f>"602"</f>
        <v>602</v>
      </c>
      <c r="B18" s="2" t="str">
        <f>"1.02"</f>
        <v>1.02</v>
      </c>
      <c r="C18" s="2" t="s">
        <v>414</v>
      </c>
      <c r="D18" s="2" t="str">
        <f t="shared" si="1"/>
        <v>1</v>
      </c>
      <c r="E18" t="s">
        <v>50</v>
      </c>
      <c r="F18" t="s">
        <v>51</v>
      </c>
      <c r="G18" t="s">
        <v>52</v>
      </c>
      <c r="H18" t="s">
        <v>53</v>
      </c>
      <c r="I18" t="str">
        <f>"08690"</f>
        <v>08690</v>
      </c>
      <c r="J18" s="5">
        <v>0</v>
      </c>
      <c r="K18" s="5">
        <v>0</v>
      </c>
      <c r="L18" s="5">
        <v>0</v>
      </c>
      <c r="M18" s="5">
        <v>0</v>
      </c>
      <c r="N18" s="2" t="s">
        <v>2</v>
      </c>
      <c r="O18" s="5">
        <v>0</v>
      </c>
      <c r="P18" s="5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11">
        <v>5.04</v>
      </c>
    </row>
    <row r="19" spans="1:22" x14ac:dyDescent="0.25">
      <c r="A19" s="2" t="str">
        <f>"701"</f>
        <v>701</v>
      </c>
      <c r="B19" s="2" t="str">
        <f>"9"</f>
        <v>9</v>
      </c>
      <c r="C19" s="2" t="s">
        <v>414</v>
      </c>
      <c r="D19" s="2" t="str">
        <f t="shared" si="1"/>
        <v>1</v>
      </c>
      <c r="E19" t="s">
        <v>56</v>
      </c>
      <c r="F19" t="s">
        <v>57</v>
      </c>
      <c r="G19" t="s">
        <v>58</v>
      </c>
      <c r="H19" t="s">
        <v>23</v>
      </c>
      <c r="I19" t="str">
        <f>"07927"</f>
        <v>07927</v>
      </c>
      <c r="J19" s="5">
        <v>827500</v>
      </c>
      <c r="K19" s="5">
        <v>0</v>
      </c>
      <c r="L19" s="5">
        <v>827500</v>
      </c>
      <c r="M19" s="5">
        <v>0</v>
      </c>
      <c r="N19" s="2" t="s">
        <v>2</v>
      </c>
      <c r="O19" s="5">
        <v>0</v>
      </c>
      <c r="P19" s="5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11">
        <v>3.01</v>
      </c>
    </row>
    <row r="20" spans="1:22" x14ac:dyDescent="0.25">
      <c r="A20" s="2" t="str">
        <f>"701"</f>
        <v>701</v>
      </c>
      <c r="B20" s="2" t="str">
        <f>"9.01"</f>
        <v>9.01</v>
      </c>
      <c r="C20" s="2" t="s">
        <v>414</v>
      </c>
      <c r="D20" s="2" t="str">
        <f t="shared" si="1"/>
        <v>1</v>
      </c>
      <c r="E20" t="s">
        <v>59</v>
      </c>
      <c r="F20" t="s">
        <v>26</v>
      </c>
      <c r="G20" t="s">
        <v>27</v>
      </c>
      <c r="H20" t="s">
        <v>23</v>
      </c>
      <c r="I20" t="str">
        <f>"07927"</f>
        <v>07927</v>
      </c>
      <c r="J20" s="5">
        <v>474300</v>
      </c>
      <c r="K20" s="5">
        <v>0</v>
      </c>
      <c r="L20" s="5">
        <v>474300</v>
      </c>
      <c r="M20" s="5">
        <v>0</v>
      </c>
      <c r="N20" s="2" t="s">
        <v>2</v>
      </c>
      <c r="O20" s="5">
        <v>0</v>
      </c>
      <c r="P20" s="5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11">
        <v>2.4900000000000002</v>
      </c>
    </row>
    <row r="21" spans="1:22" x14ac:dyDescent="0.25">
      <c r="A21" s="2" t="str">
        <f>"803"</f>
        <v>803</v>
      </c>
      <c r="B21" s="2" t="str">
        <f>"8"</f>
        <v>8</v>
      </c>
      <c r="C21" s="2" t="s">
        <v>414</v>
      </c>
      <c r="D21" s="2" t="str">
        <f t="shared" si="1"/>
        <v>1</v>
      </c>
      <c r="E21" t="s">
        <v>62</v>
      </c>
      <c r="F21" t="s">
        <v>63</v>
      </c>
      <c r="G21" t="s">
        <v>64</v>
      </c>
      <c r="H21" t="s">
        <v>1</v>
      </c>
      <c r="I21" t="str">
        <f>"07950"</f>
        <v>07950</v>
      </c>
      <c r="J21" s="5">
        <v>2100</v>
      </c>
      <c r="K21" s="5">
        <v>0</v>
      </c>
      <c r="L21" s="5">
        <v>2100</v>
      </c>
      <c r="M21" s="5">
        <v>0</v>
      </c>
      <c r="N21" s="2" t="s">
        <v>2</v>
      </c>
      <c r="O21" s="5">
        <v>0</v>
      </c>
      <c r="P21" s="5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11">
        <v>0.04</v>
      </c>
    </row>
    <row r="22" spans="1:22" x14ac:dyDescent="0.25">
      <c r="A22" s="2" t="str">
        <f>"803"</f>
        <v>803</v>
      </c>
      <c r="B22" s="2" t="str">
        <f>"17"</f>
        <v>17</v>
      </c>
      <c r="C22" s="2" t="s">
        <v>414</v>
      </c>
      <c r="D22" s="2" t="str">
        <f t="shared" si="1"/>
        <v>1</v>
      </c>
      <c r="E22" t="s">
        <v>65</v>
      </c>
      <c r="F22" t="s">
        <v>26</v>
      </c>
      <c r="G22" t="s">
        <v>27</v>
      </c>
      <c r="H22" t="s">
        <v>23</v>
      </c>
      <c r="I22" t="str">
        <f>"07927"</f>
        <v>07927</v>
      </c>
      <c r="J22" s="5">
        <v>49200</v>
      </c>
      <c r="K22" s="5">
        <v>0</v>
      </c>
      <c r="L22" s="5">
        <v>49200</v>
      </c>
      <c r="M22" s="5">
        <v>0</v>
      </c>
      <c r="N22" s="2" t="s">
        <v>2</v>
      </c>
      <c r="O22" s="5">
        <v>0</v>
      </c>
      <c r="P22" s="5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11">
        <v>0.25</v>
      </c>
    </row>
    <row r="23" spans="1:22" x14ac:dyDescent="0.25">
      <c r="A23" s="2" t="str">
        <f>"901"</f>
        <v>901</v>
      </c>
      <c r="B23" s="2" t="str">
        <f>"5"</f>
        <v>5</v>
      </c>
      <c r="C23" s="2" t="s">
        <v>414</v>
      </c>
      <c r="D23" s="2" t="str">
        <f t="shared" si="1"/>
        <v>1</v>
      </c>
      <c r="E23" t="s">
        <v>67</v>
      </c>
      <c r="F23" t="s">
        <v>68</v>
      </c>
      <c r="G23" t="s">
        <v>66</v>
      </c>
      <c r="H23" t="s">
        <v>23</v>
      </c>
      <c r="I23" t="str">
        <f>"07927"</f>
        <v>07927</v>
      </c>
      <c r="J23" s="5">
        <v>120300</v>
      </c>
      <c r="K23" s="5">
        <v>0</v>
      </c>
      <c r="L23" s="5">
        <v>120300</v>
      </c>
      <c r="M23" s="5">
        <v>0</v>
      </c>
      <c r="N23" s="2" t="s">
        <v>2</v>
      </c>
      <c r="O23" s="5">
        <v>0</v>
      </c>
      <c r="P23" s="5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11">
        <v>0.91</v>
      </c>
    </row>
    <row r="24" spans="1:22" x14ac:dyDescent="0.25">
      <c r="A24" s="2" t="str">
        <f>"904"</f>
        <v>904</v>
      </c>
      <c r="B24" s="2" t="str">
        <f>"22"</f>
        <v>22</v>
      </c>
      <c r="C24" s="2" t="s">
        <v>414</v>
      </c>
      <c r="D24" s="2" t="str">
        <f t="shared" si="1"/>
        <v>1</v>
      </c>
      <c r="E24" t="s">
        <v>69</v>
      </c>
      <c r="F24" t="s">
        <v>70</v>
      </c>
      <c r="G24" t="s">
        <v>49</v>
      </c>
      <c r="H24" t="s">
        <v>71</v>
      </c>
      <c r="I24" t="str">
        <f>"07981"</f>
        <v>07981</v>
      </c>
      <c r="J24" s="5">
        <v>8700</v>
      </c>
      <c r="K24" s="5">
        <v>0</v>
      </c>
      <c r="L24" s="5">
        <v>8700</v>
      </c>
      <c r="M24" s="5">
        <v>0</v>
      </c>
      <c r="N24" s="2" t="s">
        <v>2</v>
      </c>
      <c r="O24" s="5">
        <v>0</v>
      </c>
      <c r="P24" s="5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11">
        <v>0.19</v>
      </c>
    </row>
    <row r="25" spans="1:22" x14ac:dyDescent="0.25">
      <c r="A25" s="2" t="str">
        <f>"1101"</f>
        <v>1101</v>
      </c>
      <c r="B25" s="2" t="str">
        <f>"1"</f>
        <v>1</v>
      </c>
      <c r="C25" s="2" t="s">
        <v>414</v>
      </c>
      <c r="D25" s="2" t="str">
        <f t="shared" si="1"/>
        <v>1</v>
      </c>
      <c r="E25" t="s">
        <v>72</v>
      </c>
      <c r="F25" t="s">
        <v>73</v>
      </c>
      <c r="G25" t="s">
        <v>74</v>
      </c>
      <c r="H25" t="s">
        <v>75</v>
      </c>
      <c r="I25" t="str">
        <f>"07869"</f>
        <v>07869</v>
      </c>
      <c r="J25" s="5">
        <v>377300</v>
      </c>
      <c r="K25" s="5">
        <v>0</v>
      </c>
      <c r="L25" s="5">
        <v>377300</v>
      </c>
      <c r="M25" s="5">
        <v>0</v>
      </c>
      <c r="N25" s="2" t="s">
        <v>2</v>
      </c>
      <c r="O25" s="5">
        <v>0</v>
      </c>
      <c r="P25" s="5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11">
        <v>1.38</v>
      </c>
    </row>
    <row r="26" spans="1:22" x14ac:dyDescent="0.25">
      <c r="A26" s="2" t="str">
        <f>"1101"</f>
        <v>1101</v>
      </c>
      <c r="B26" s="2" t="str">
        <f>"3"</f>
        <v>3</v>
      </c>
      <c r="C26" s="2" t="s">
        <v>414</v>
      </c>
      <c r="D26" s="2" t="str">
        <f t="shared" si="1"/>
        <v>1</v>
      </c>
      <c r="E26" t="s">
        <v>76</v>
      </c>
      <c r="F26" t="s">
        <v>77</v>
      </c>
      <c r="G26" t="s">
        <v>78</v>
      </c>
      <c r="H26" t="s">
        <v>79</v>
      </c>
      <c r="I26" t="str">
        <f>"08701"</f>
        <v>08701</v>
      </c>
      <c r="J26" s="5">
        <v>95000</v>
      </c>
      <c r="K26" s="5">
        <v>0</v>
      </c>
      <c r="L26" s="5">
        <v>95000</v>
      </c>
      <c r="M26" s="5">
        <v>0</v>
      </c>
      <c r="N26" s="2" t="s">
        <v>2</v>
      </c>
      <c r="O26" s="5">
        <v>0</v>
      </c>
      <c r="P26" s="5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11">
        <v>0.83</v>
      </c>
    </row>
    <row r="27" spans="1:22" x14ac:dyDescent="0.25">
      <c r="A27" s="2" t="str">
        <f>"1102"</f>
        <v>1102</v>
      </c>
      <c r="B27" s="2" t="str">
        <f>"5"</f>
        <v>5</v>
      </c>
      <c r="C27" s="2" t="s">
        <v>414</v>
      </c>
      <c r="D27" s="2" t="str">
        <f t="shared" si="1"/>
        <v>1</v>
      </c>
      <c r="E27" t="s">
        <v>82</v>
      </c>
      <c r="F27" t="s">
        <v>26</v>
      </c>
      <c r="G27" t="s">
        <v>27</v>
      </c>
      <c r="H27" t="s">
        <v>23</v>
      </c>
      <c r="I27" t="str">
        <f>"07927"</f>
        <v>07927</v>
      </c>
      <c r="J27" s="5">
        <v>161000</v>
      </c>
      <c r="K27" s="5">
        <v>0</v>
      </c>
      <c r="L27" s="5">
        <v>161000</v>
      </c>
      <c r="M27" s="5">
        <v>0</v>
      </c>
      <c r="N27" s="2" t="s">
        <v>2</v>
      </c>
      <c r="O27" s="5">
        <v>0</v>
      </c>
      <c r="P27" s="5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11">
        <v>1.61</v>
      </c>
    </row>
    <row r="28" spans="1:22" x14ac:dyDescent="0.25">
      <c r="A28" s="2" t="str">
        <f>"1201"</f>
        <v>1201</v>
      </c>
      <c r="B28" s="2" t="str">
        <f>"1"</f>
        <v>1</v>
      </c>
      <c r="C28" s="2" t="s">
        <v>414</v>
      </c>
      <c r="D28" s="2" t="str">
        <f t="shared" si="1"/>
        <v>1</v>
      </c>
      <c r="E28" t="s">
        <v>83</v>
      </c>
      <c r="F28" t="s">
        <v>84</v>
      </c>
      <c r="G28" t="s">
        <v>85</v>
      </c>
      <c r="H28" t="s">
        <v>86</v>
      </c>
      <c r="I28" t="str">
        <f>"07052"</f>
        <v>07052</v>
      </c>
      <c r="J28" s="5">
        <v>5600</v>
      </c>
      <c r="K28" s="5">
        <v>0</v>
      </c>
      <c r="L28" s="5">
        <v>5600</v>
      </c>
      <c r="M28" s="5">
        <v>0</v>
      </c>
      <c r="N28" s="2" t="s">
        <v>2</v>
      </c>
      <c r="O28" s="5">
        <v>0</v>
      </c>
      <c r="P28" s="5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11">
        <v>0.11</v>
      </c>
    </row>
    <row r="29" spans="1:22" x14ac:dyDescent="0.25">
      <c r="A29" s="2" t="str">
        <f>"1501"</f>
        <v>1501</v>
      </c>
      <c r="B29" s="2" t="str">
        <f>"17.02"</f>
        <v>17.02</v>
      </c>
      <c r="C29" s="2" t="s">
        <v>414</v>
      </c>
      <c r="D29" s="2" t="str">
        <f t="shared" si="1"/>
        <v>1</v>
      </c>
      <c r="E29" t="s">
        <v>91</v>
      </c>
      <c r="F29" t="s">
        <v>92</v>
      </c>
      <c r="G29" t="s">
        <v>91</v>
      </c>
      <c r="H29" t="s">
        <v>23</v>
      </c>
      <c r="I29" t="str">
        <f>"07927"</f>
        <v>07927</v>
      </c>
      <c r="J29" s="5">
        <v>2700</v>
      </c>
      <c r="K29" s="5">
        <v>0</v>
      </c>
      <c r="L29" s="5">
        <v>2700</v>
      </c>
      <c r="M29" s="5">
        <v>0</v>
      </c>
      <c r="N29" s="2" t="s">
        <v>2</v>
      </c>
      <c r="O29" s="5">
        <v>0</v>
      </c>
      <c r="P29" s="5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11">
        <v>0.06</v>
      </c>
    </row>
    <row r="30" spans="1:22" x14ac:dyDescent="0.25">
      <c r="A30" s="2" t="str">
        <f>"1502"</f>
        <v>1502</v>
      </c>
      <c r="B30" s="2" t="str">
        <f>"21"</f>
        <v>21</v>
      </c>
      <c r="C30" s="2" t="s">
        <v>414</v>
      </c>
      <c r="D30" s="2" t="str">
        <f t="shared" si="1"/>
        <v>1</v>
      </c>
      <c r="E30" t="s">
        <v>93</v>
      </c>
      <c r="F30" t="s">
        <v>94</v>
      </c>
      <c r="G30" t="s">
        <v>95</v>
      </c>
      <c r="H30" t="s">
        <v>96</v>
      </c>
      <c r="I30" t="str">
        <f>"07438"</f>
        <v>07438</v>
      </c>
      <c r="J30" s="5">
        <v>0</v>
      </c>
      <c r="K30" s="5">
        <v>0</v>
      </c>
      <c r="L30" s="5">
        <v>0</v>
      </c>
      <c r="M30" s="5">
        <v>0</v>
      </c>
      <c r="N30" s="2" t="s">
        <v>2</v>
      </c>
      <c r="O30" s="5">
        <v>0</v>
      </c>
      <c r="P30" s="5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11">
        <v>13.28</v>
      </c>
    </row>
    <row r="31" spans="1:22" x14ac:dyDescent="0.25">
      <c r="A31" s="2" t="str">
        <f>"1601"</f>
        <v>1601</v>
      </c>
      <c r="B31" s="2" t="str">
        <f>"5"</f>
        <v>5</v>
      </c>
      <c r="C31" s="2" t="s">
        <v>414</v>
      </c>
      <c r="D31" s="2" t="str">
        <f t="shared" si="1"/>
        <v>1</v>
      </c>
      <c r="E31" t="s">
        <v>58</v>
      </c>
      <c r="F31" t="s">
        <v>97</v>
      </c>
      <c r="G31" t="s">
        <v>58</v>
      </c>
      <c r="H31" t="s">
        <v>23</v>
      </c>
      <c r="I31" t="str">
        <f>"07927"</f>
        <v>07927</v>
      </c>
      <c r="J31" s="5">
        <v>710000</v>
      </c>
      <c r="K31" s="5">
        <v>0</v>
      </c>
      <c r="L31" s="5">
        <v>710000</v>
      </c>
      <c r="M31" s="5">
        <v>0</v>
      </c>
      <c r="N31" s="2" t="s">
        <v>2</v>
      </c>
      <c r="O31" s="5">
        <v>0</v>
      </c>
      <c r="P31" s="5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11">
        <v>3.55</v>
      </c>
    </row>
    <row r="32" spans="1:22" x14ac:dyDescent="0.25">
      <c r="A32" s="2" t="str">
        <f>"1702"</f>
        <v>1702</v>
      </c>
      <c r="B32" s="2" t="str">
        <f>"3"</f>
        <v>3</v>
      </c>
      <c r="C32" s="2" t="s">
        <v>414</v>
      </c>
      <c r="D32" s="2" t="str">
        <f t="shared" si="1"/>
        <v>1</v>
      </c>
      <c r="E32" t="s">
        <v>98</v>
      </c>
      <c r="F32" t="s">
        <v>99</v>
      </c>
      <c r="G32" t="s">
        <v>100</v>
      </c>
      <c r="H32" t="s">
        <v>101</v>
      </c>
      <c r="I32" t="str">
        <f>"22202"</f>
        <v>22202</v>
      </c>
      <c r="J32" s="5">
        <v>410300</v>
      </c>
      <c r="K32" s="5">
        <v>0</v>
      </c>
      <c r="L32" s="5">
        <v>410300</v>
      </c>
      <c r="M32" s="5">
        <v>0</v>
      </c>
      <c r="N32" s="2" t="s">
        <v>2</v>
      </c>
      <c r="O32" s="5">
        <v>0</v>
      </c>
      <c r="P32" s="5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11">
        <v>1.34</v>
      </c>
    </row>
    <row r="33" spans="1:22" x14ac:dyDescent="0.25">
      <c r="A33" s="2" t="str">
        <f>"1801"</f>
        <v>1801</v>
      </c>
      <c r="B33" s="2" t="str">
        <f>"2"</f>
        <v>2</v>
      </c>
      <c r="C33" s="2" t="s">
        <v>414</v>
      </c>
      <c r="D33" s="2" t="str">
        <f t="shared" si="1"/>
        <v>1</v>
      </c>
      <c r="E33" t="s">
        <v>102</v>
      </c>
      <c r="F33" t="s">
        <v>103</v>
      </c>
      <c r="G33" t="s">
        <v>104</v>
      </c>
      <c r="H33" t="s">
        <v>105</v>
      </c>
      <c r="I33" t="str">
        <f>"07632"</f>
        <v>07632</v>
      </c>
      <c r="J33" s="5">
        <v>117000</v>
      </c>
      <c r="K33" s="5">
        <v>0</v>
      </c>
      <c r="L33" s="5">
        <v>117000</v>
      </c>
      <c r="M33" s="5">
        <v>0</v>
      </c>
      <c r="N33" s="2" t="s">
        <v>2</v>
      </c>
      <c r="O33" s="5">
        <v>0</v>
      </c>
      <c r="P33" s="5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11">
        <v>0.36</v>
      </c>
    </row>
    <row r="34" spans="1:22" x14ac:dyDescent="0.25">
      <c r="A34" s="2" t="str">
        <f>"2007"</f>
        <v>2007</v>
      </c>
      <c r="B34" s="2" t="str">
        <f>"3"</f>
        <v>3</v>
      </c>
      <c r="C34" s="2" t="s">
        <v>414</v>
      </c>
      <c r="D34" s="2" t="str">
        <f t="shared" si="1"/>
        <v>1</v>
      </c>
      <c r="E34" t="s">
        <v>108</v>
      </c>
      <c r="F34" t="s">
        <v>109</v>
      </c>
      <c r="G34" t="s">
        <v>108</v>
      </c>
      <c r="H34" t="s">
        <v>24</v>
      </c>
      <c r="I34" t="str">
        <f>"07981"</f>
        <v>07981</v>
      </c>
      <c r="J34" s="5">
        <v>255800</v>
      </c>
      <c r="K34" s="5">
        <v>0</v>
      </c>
      <c r="L34" s="5">
        <v>255800</v>
      </c>
      <c r="M34" s="5">
        <v>0</v>
      </c>
      <c r="N34" s="2" t="s">
        <v>2</v>
      </c>
      <c r="O34" s="5">
        <v>0</v>
      </c>
      <c r="P34" s="5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11">
        <v>1.32</v>
      </c>
    </row>
    <row r="35" spans="1:22" x14ac:dyDescent="0.25">
      <c r="A35" s="2" t="str">
        <f>"2007"</f>
        <v>2007</v>
      </c>
      <c r="B35" s="2" t="str">
        <f>"4"</f>
        <v>4</v>
      </c>
      <c r="C35" s="2" t="s">
        <v>414</v>
      </c>
      <c r="D35" s="2" t="str">
        <f t="shared" ref="D35:D66" si="3">"1"</f>
        <v>1</v>
      </c>
      <c r="E35" t="s">
        <v>110</v>
      </c>
      <c r="F35" t="s">
        <v>111</v>
      </c>
      <c r="G35" t="s">
        <v>112</v>
      </c>
      <c r="H35" t="s">
        <v>113</v>
      </c>
      <c r="I35" t="str">
        <f>"01568"</f>
        <v>01568</v>
      </c>
      <c r="J35" s="5">
        <v>1100</v>
      </c>
      <c r="K35" s="5">
        <v>0</v>
      </c>
      <c r="L35" s="5">
        <v>1100</v>
      </c>
      <c r="M35" s="5">
        <v>0</v>
      </c>
      <c r="N35" s="2" t="s">
        <v>2</v>
      </c>
      <c r="O35" s="5">
        <v>0</v>
      </c>
      <c r="P35" s="5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11">
        <v>0.02</v>
      </c>
    </row>
    <row r="36" spans="1:22" x14ac:dyDescent="0.25">
      <c r="A36" s="2" t="str">
        <f>"2103"</f>
        <v>2103</v>
      </c>
      <c r="B36" s="2" t="str">
        <f>"3"</f>
        <v>3</v>
      </c>
      <c r="C36" s="2" t="s">
        <v>414</v>
      </c>
      <c r="D36" s="2" t="str">
        <f t="shared" si="3"/>
        <v>1</v>
      </c>
      <c r="E36" t="s">
        <v>114</v>
      </c>
      <c r="F36" t="s">
        <v>115</v>
      </c>
      <c r="G36" t="s">
        <v>116</v>
      </c>
      <c r="H36" t="s">
        <v>117</v>
      </c>
      <c r="I36" t="str">
        <f>"07701"</f>
        <v>07701</v>
      </c>
      <c r="J36" s="5">
        <v>45700</v>
      </c>
      <c r="K36" s="5">
        <v>0</v>
      </c>
      <c r="L36" s="5">
        <v>45700</v>
      </c>
      <c r="M36" s="5">
        <v>0</v>
      </c>
      <c r="N36" s="2" t="s">
        <v>2</v>
      </c>
      <c r="O36" s="5">
        <v>0</v>
      </c>
      <c r="P36" s="5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11">
        <v>1.73</v>
      </c>
    </row>
    <row r="37" spans="1:22" x14ac:dyDescent="0.25">
      <c r="A37" s="2" t="str">
        <f>"2104"</f>
        <v>2104</v>
      </c>
      <c r="B37" s="2" t="str">
        <f>"3.02"</f>
        <v>3.02</v>
      </c>
      <c r="C37" s="2" t="s">
        <v>414</v>
      </c>
      <c r="D37" s="2" t="str">
        <f t="shared" si="3"/>
        <v>1</v>
      </c>
      <c r="E37" t="s">
        <v>118</v>
      </c>
      <c r="F37" t="s">
        <v>119</v>
      </c>
      <c r="G37" t="s">
        <v>120</v>
      </c>
      <c r="H37" t="s">
        <v>23</v>
      </c>
      <c r="I37" t="str">
        <f>"07927"</f>
        <v>07927</v>
      </c>
      <c r="J37" s="5">
        <v>125000</v>
      </c>
      <c r="K37" s="5">
        <v>0</v>
      </c>
      <c r="L37" s="5">
        <v>125000</v>
      </c>
      <c r="M37" s="5">
        <v>0</v>
      </c>
      <c r="N37" s="2" t="s">
        <v>2</v>
      </c>
      <c r="O37" s="5">
        <v>0</v>
      </c>
      <c r="P37" s="5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11">
        <v>0.35</v>
      </c>
    </row>
    <row r="38" spans="1:22" x14ac:dyDescent="0.25">
      <c r="A38" s="2" t="str">
        <f>"2104"</f>
        <v>2104</v>
      </c>
      <c r="B38" s="2" t="str">
        <f>"9"</f>
        <v>9</v>
      </c>
      <c r="C38" s="2" t="s">
        <v>414</v>
      </c>
      <c r="D38" s="2" t="str">
        <f t="shared" si="3"/>
        <v>1</v>
      </c>
      <c r="E38" t="s">
        <v>123</v>
      </c>
      <c r="F38" t="s">
        <v>122</v>
      </c>
      <c r="G38" t="s">
        <v>121</v>
      </c>
      <c r="H38" t="s">
        <v>23</v>
      </c>
      <c r="I38" t="str">
        <f>"07927"</f>
        <v>07927</v>
      </c>
      <c r="J38" s="5">
        <v>417200</v>
      </c>
      <c r="K38" s="5">
        <v>0</v>
      </c>
      <c r="L38" s="5">
        <v>417200</v>
      </c>
      <c r="M38" s="5">
        <v>0</v>
      </c>
      <c r="N38" s="2" t="s">
        <v>2</v>
      </c>
      <c r="O38" s="5">
        <v>0</v>
      </c>
      <c r="P38" s="5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11">
        <v>4.6100000000000003</v>
      </c>
    </row>
    <row r="39" spans="1:22" x14ac:dyDescent="0.25">
      <c r="A39" s="2" t="str">
        <f>"2201"</f>
        <v>2201</v>
      </c>
      <c r="B39" s="2" t="str">
        <f>"7.01"</f>
        <v>7.01</v>
      </c>
      <c r="C39" s="2" t="s">
        <v>414</v>
      </c>
      <c r="D39" s="2" t="str">
        <f t="shared" si="3"/>
        <v>1</v>
      </c>
      <c r="E39" t="s">
        <v>126</v>
      </c>
      <c r="F39" t="s">
        <v>127</v>
      </c>
      <c r="G39" t="s">
        <v>124</v>
      </c>
      <c r="H39" t="s">
        <v>125</v>
      </c>
      <c r="I39" t="str">
        <f>"07034"</f>
        <v>07034</v>
      </c>
      <c r="J39" s="5">
        <v>185900</v>
      </c>
      <c r="K39" s="5">
        <v>0</v>
      </c>
      <c r="L39" s="5">
        <v>185900</v>
      </c>
      <c r="M39" s="5">
        <v>0</v>
      </c>
      <c r="N39" s="2" t="s">
        <v>2</v>
      </c>
      <c r="O39" s="5">
        <v>0</v>
      </c>
      <c r="P39" s="5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11">
        <v>0.55000000000000004</v>
      </c>
    </row>
    <row r="40" spans="1:22" x14ac:dyDescent="0.25">
      <c r="A40" s="2" t="str">
        <f>"2201"</f>
        <v>2201</v>
      </c>
      <c r="B40" s="2" t="str">
        <f>"9.02"</f>
        <v>9.02</v>
      </c>
      <c r="C40" s="2" t="s">
        <v>414</v>
      </c>
      <c r="D40" s="2" t="str">
        <f t="shared" si="3"/>
        <v>1</v>
      </c>
      <c r="E40" t="s">
        <v>128</v>
      </c>
      <c r="F40" t="s">
        <v>129</v>
      </c>
      <c r="G40" t="s">
        <v>80</v>
      </c>
      <c r="H40" t="s">
        <v>46</v>
      </c>
      <c r="I40" t="str">
        <f>"07039"</f>
        <v>07039</v>
      </c>
      <c r="J40" s="5">
        <v>52200</v>
      </c>
      <c r="K40" s="5">
        <v>0</v>
      </c>
      <c r="L40" s="5">
        <v>52200</v>
      </c>
      <c r="M40" s="5">
        <v>0</v>
      </c>
      <c r="N40" s="2" t="s">
        <v>2</v>
      </c>
      <c r="O40" s="5">
        <v>0</v>
      </c>
      <c r="P40" s="5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11">
        <v>0.57999999999999996</v>
      </c>
    </row>
    <row r="41" spans="1:22" x14ac:dyDescent="0.25">
      <c r="A41" s="2" t="str">
        <f>"2501"</f>
        <v>2501</v>
      </c>
      <c r="B41" s="2" t="str">
        <f>"5"</f>
        <v>5</v>
      </c>
      <c r="C41" s="2" t="s">
        <v>414</v>
      </c>
      <c r="D41" s="2" t="str">
        <f t="shared" si="3"/>
        <v>1</v>
      </c>
      <c r="E41" t="s">
        <v>134</v>
      </c>
      <c r="F41" t="s">
        <v>133</v>
      </c>
      <c r="G41" t="s">
        <v>132</v>
      </c>
      <c r="H41" t="s">
        <v>23</v>
      </c>
      <c r="I41" t="str">
        <f>"07927"</f>
        <v>07927</v>
      </c>
      <c r="J41" s="5">
        <v>29900</v>
      </c>
      <c r="K41" s="5">
        <v>0</v>
      </c>
      <c r="L41" s="5">
        <v>29900</v>
      </c>
      <c r="M41" s="5">
        <v>0</v>
      </c>
      <c r="N41" s="2" t="s">
        <v>2</v>
      </c>
      <c r="O41" s="5">
        <v>0</v>
      </c>
      <c r="P41" s="5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11">
        <v>0.18</v>
      </c>
    </row>
    <row r="42" spans="1:22" x14ac:dyDescent="0.25">
      <c r="A42" s="2" t="str">
        <f>"2601"</f>
        <v>2601</v>
      </c>
      <c r="B42" s="2" t="str">
        <f>"14"</f>
        <v>14</v>
      </c>
      <c r="C42" s="2" t="s">
        <v>414</v>
      </c>
      <c r="D42" s="2" t="str">
        <f t="shared" si="3"/>
        <v>1</v>
      </c>
      <c r="E42" t="s">
        <v>138</v>
      </c>
      <c r="F42" t="s">
        <v>136</v>
      </c>
      <c r="G42" t="s">
        <v>137</v>
      </c>
      <c r="H42" t="s">
        <v>23</v>
      </c>
      <c r="I42" t="str">
        <f>"07927"</f>
        <v>07927</v>
      </c>
      <c r="J42" s="5">
        <v>186300</v>
      </c>
      <c r="K42" s="5">
        <v>0</v>
      </c>
      <c r="L42" s="5">
        <v>186300</v>
      </c>
      <c r="M42" s="5">
        <v>0</v>
      </c>
      <c r="N42" s="2" t="s">
        <v>2</v>
      </c>
      <c r="O42" s="5">
        <v>0</v>
      </c>
      <c r="P42" s="5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11">
        <v>0.86</v>
      </c>
    </row>
    <row r="43" spans="1:22" x14ac:dyDescent="0.25">
      <c r="A43" s="2" t="str">
        <f>"2601"</f>
        <v>2601</v>
      </c>
      <c r="B43" s="2" t="str">
        <f>"14.01"</f>
        <v>14.01</v>
      </c>
      <c r="C43" s="2" t="s">
        <v>414</v>
      </c>
      <c r="D43" s="2" t="str">
        <f t="shared" si="3"/>
        <v>1</v>
      </c>
      <c r="E43" t="s">
        <v>139</v>
      </c>
      <c r="F43" t="s">
        <v>136</v>
      </c>
      <c r="G43" t="s">
        <v>137</v>
      </c>
      <c r="H43" t="s">
        <v>23</v>
      </c>
      <c r="I43" t="str">
        <f>"07927"</f>
        <v>07927</v>
      </c>
      <c r="J43" s="5">
        <v>186300</v>
      </c>
      <c r="K43" s="5">
        <v>0</v>
      </c>
      <c r="L43" s="5">
        <v>186300</v>
      </c>
      <c r="M43" s="5">
        <v>0</v>
      </c>
      <c r="N43" s="2" t="s">
        <v>2</v>
      </c>
      <c r="O43" s="5">
        <v>0</v>
      </c>
      <c r="P43" s="5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11">
        <v>0.86</v>
      </c>
    </row>
    <row r="44" spans="1:22" x14ac:dyDescent="0.25">
      <c r="A44" s="2" t="str">
        <f>"2602"</f>
        <v>2602</v>
      </c>
      <c r="B44" s="2" t="str">
        <f>"1.01"</f>
        <v>1.01</v>
      </c>
      <c r="C44" s="2" t="s">
        <v>414</v>
      </c>
      <c r="D44" s="2" t="str">
        <f t="shared" si="3"/>
        <v>1</v>
      </c>
      <c r="E44" t="s">
        <v>140</v>
      </c>
      <c r="F44" t="s">
        <v>141</v>
      </c>
      <c r="G44" t="s">
        <v>142</v>
      </c>
      <c r="H44" t="s">
        <v>24</v>
      </c>
      <c r="I44" t="str">
        <f>"07981"</f>
        <v>07981</v>
      </c>
      <c r="J44" s="5">
        <v>63700</v>
      </c>
      <c r="K44" s="5">
        <v>0</v>
      </c>
      <c r="L44" s="5">
        <v>63700</v>
      </c>
      <c r="M44" s="5">
        <v>0</v>
      </c>
      <c r="N44" s="2" t="s">
        <v>2</v>
      </c>
      <c r="O44" s="5">
        <v>0</v>
      </c>
      <c r="P44" s="5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11">
        <v>2.25</v>
      </c>
    </row>
    <row r="45" spans="1:22" x14ac:dyDescent="0.25">
      <c r="A45" s="2" t="str">
        <f>"2602"</f>
        <v>2602</v>
      </c>
      <c r="B45" s="2" t="str">
        <f>"5"</f>
        <v>5</v>
      </c>
      <c r="C45" s="2" t="s">
        <v>414</v>
      </c>
      <c r="D45" s="2" t="str">
        <f t="shared" si="3"/>
        <v>1</v>
      </c>
      <c r="E45" t="s">
        <v>143</v>
      </c>
      <c r="F45" t="s">
        <v>144</v>
      </c>
      <c r="G45" t="s">
        <v>145</v>
      </c>
      <c r="H45" t="s">
        <v>146</v>
      </c>
      <c r="I45" t="str">
        <f>"60522"</f>
        <v>60522</v>
      </c>
      <c r="J45" s="5">
        <v>89400</v>
      </c>
      <c r="K45" s="5">
        <v>0</v>
      </c>
      <c r="L45" s="5">
        <v>89400</v>
      </c>
      <c r="M45" s="5">
        <v>0</v>
      </c>
      <c r="N45" s="2" t="s">
        <v>2</v>
      </c>
      <c r="O45" s="5">
        <v>0</v>
      </c>
      <c r="P45" s="5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11">
        <v>0.55000000000000004</v>
      </c>
    </row>
    <row r="46" spans="1:22" x14ac:dyDescent="0.25">
      <c r="A46" s="2" t="str">
        <f>"2602"</f>
        <v>2602</v>
      </c>
      <c r="B46" s="2" t="str">
        <f>"5.01"</f>
        <v>5.01</v>
      </c>
      <c r="C46" s="2" t="s">
        <v>414</v>
      </c>
      <c r="D46" s="2" t="str">
        <f t="shared" si="3"/>
        <v>1</v>
      </c>
      <c r="E46" t="s">
        <v>143</v>
      </c>
      <c r="F46" t="s">
        <v>147</v>
      </c>
      <c r="G46" t="s">
        <v>145</v>
      </c>
      <c r="H46" t="s">
        <v>146</v>
      </c>
      <c r="I46" t="str">
        <f>"60522"</f>
        <v>60522</v>
      </c>
      <c r="J46" s="5">
        <v>13000</v>
      </c>
      <c r="K46" s="5">
        <v>0</v>
      </c>
      <c r="L46" s="5">
        <v>13000</v>
      </c>
      <c r="M46" s="5">
        <v>0</v>
      </c>
      <c r="N46" s="2" t="s">
        <v>2</v>
      </c>
      <c r="O46" s="5">
        <v>0</v>
      </c>
      <c r="P46" s="5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11">
        <v>0.08</v>
      </c>
    </row>
    <row r="47" spans="1:22" x14ac:dyDescent="0.25">
      <c r="A47" s="2" t="str">
        <f>"2602"</f>
        <v>2602</v>
      </c>
      <c r="B47" s="2" t="str">
        <f>"8"</f>
        <v>8</v>
      </c>
      <c r="C47" s="2" t="s">
        <v>414</v>
      </c>
      <c r="D47" s="2" t="str">
        <f t="shared" si="3"/>
        <v>1</v>
      </c>
      <c r="E47" t="s">
        <v>151</v>
      </c>
      <c r="F47" t="s">
        <v>148</v>
      </c>
      <c r="G47" t="s">
        <v>149</v>
      </c>
      <c r="H47" t="s">
        <v>150</v>
      </c>
      <c r="I47" t="str">
        <f>"19103"</f>
        <v>19103</v>
      </c>
      <c r="J47" s="5">
        <v>146600</v>
      </c>
      <c r="K47" s="5">
        <v>0</v>
      </c>
      <c r="L47" s="5">
        <v>146600</v>
      </c>
      <c r="M47" s="5">
        <v>0</v>
      </c>
      <c r="N47" s="2" t="s">
        <v>2</v>
      </c>
      <c r="O47" s="5">
        <v>0</v>
      </c>
      <c r="P47" s="5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11">
        <v>0.45</v>
      </c>
    </row>
    <row r="48" spans="1:22" x14ac:dyDescent="0.25">
      <c r="A48" s="2" t="str">
        <f>"2701"</f>
        <v>2701</v>
      </c>
      <c r="B48" s="2" t="str">
        <f>"26.02"</f>
        <v>26.02</v>
      </c>
      <c r="C48" s="2" t="s">
        <v>414</v>
      </c>
      <c r="D48" s="2" t="str">
        <f t="shared" si="3"/>
        <v>1</v>
      </c>
      <c r="E48" t="s">
        <v>154</v>
      </c>
      <c r="F48" t="s">
        <v>153</v>
      </c>
      <c r="G48" t="s">
        <v>152</v>
      </c>
      <c r="H48" t="s">
        <v>23</v>
      </c>
      <c r="I48" t="str">
        <f>"07927"</f>
        <v>07927</v>
      </c>
      <c r="J48" s="5">
        <v>170800</v>
      </c>
      <c r="K48" s="5">
        <v>0</v>
      </c>
      <c r="L48" s="5">
        <v>170800</v>
      </c>
      <c r="M48" s="5">
        <v>0</v>
      </c>
      <c r="N48" s="2" t="s">
        <v>2</v>
      </c>
      <c r="O48" s="5">
        <v>0</v>
      </c>
      <c r="P48" s="5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11">
        <v>0.77</v>
      </c>
    </row>
    <row r="49" spans="1:22" x14ac:dyDescent="0.25">
      <c r="A49" s="2" t="str">
        <f>"2801"</f>
        <v>2801</v>
      </c>
      <c r="B49" s="2" t="str">
        <f>"10"</f>
        <v>10</v>
      </c>
      <c r="C49" s="2" t="s">
        <v>414</v>
      </c>
      <c r="D49" s="2" t="str">
        <f t="shared" si="3"/>
        <v>1</v>
      </c>
      <c r="E49" t="s">
        <v>155</v>
      </c>
      <c r="F49" t="s">
        <v>26</v>
      </c>
      <c r="G49" t="s">
        <v>27</v>
      </c>
      <c r="H49" t="s">
        <v>23</v>
      </c>
      <c r="I49" t="str">
        <f>"07927"</f>
        <v>07927</v>
      </c>
      <c r="J49" s="5">
        <v>423900</v>
      </c>
      <c r="K49" s="5">
        <v>0</v>
      </c>
      <c r="L49" s="5">
        <v>423900</v>
      </c>
      <c r="M49" s="5">
        <v>0</v>
      </c>
      <c r="N49" s="2" t="s">
        <v>2</v>
      </c>
      <c r="O49" s="5">
        <v>0</v>
      </c>
      <c r="P49" s="5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11">
        <v>14.13</v>
      </c>
    </row>
    <row r="50" spans="1:22" x14ac:dyDescent="0.25">
      <c r="A50" s="2" t="str">
        <f>"2801"</f>
        <v>2801</v>
      </c>
      <c r="B50" s="2" t="str">
        <f>"10.01"</f>
        <v>10.01</v>
      </c>
      <c r="C50" s="2" t="s">
        <v>414</v>
      </c>
      <c r="D50" s="2" t="str">
        <f t="shared" si="3"/>
        <v>1</v>
      </c>
      <c r="E50" t="s">
        <v>93</v>
      </c>
      <c r="F50" t="s">
        <v>156</v>
      </c>
      <c r="G50" t="s">
        <v>27</v>
      </c>
      <c r="H50" t="s">
        <v>23</v>
      </c>
      <c r="I50" t="str">
        <f>"07927"</f>
        <v>07927</v>
      </c>
      <c r="J50" s="5">
        <v>189200</v>
      </c>
      <c r="K50" s="5">
        <v>0</v>
      </c>
      <c r="L50" s="5">
        <v>189200</v>
      </c>
      <c r="M50" s="5">
        <v>0</v>
      </c>
      <c r="N50" s="2" t="s">
        <v>2</v>
      </c>
      <c r="O50" s="5">
        <v>0</v>
      </c>
      <c r="P50" s="5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11">
        <v>18.920000000000002</v>
      </c>
    </row>
    <row r="51" spans="1:22" x14ac:dyDescent="0.25">
      <c r="A51" s="2" t="str">
        <f>"2802"</f>
        <v>2802</v>
      </c>
      <c r="B51" s="2" t="str">
        <f>"3"</f>
        <v>3</v>
      </c>
      <c r="C51" s="2" t="s">
        <v>414</v>
      </c>
      <c r="D51" s="2" t="str">
        <f t="shared" si="3"/>
        <v>1</v>
      </c>
      <c r="E51" t="s">
        <v>157</v>
      </c>
      <c r="F51" t="s">
        <v>158</v>
      </c>
      <c r="G51" t="s">
        <v>27</v>
      </c>
      <c r="H51" t="s">
        <v>23</v>
      </c>
      <c r="I51" t="str">
        <f>"07927"</f>
        <v>07927</v>
      </c>
      <c r="J51" s="5">
        <v>160900</v>
      </c>
      <c r="K51" s="5">
        <v>0</v>
      </c>
      <c r="L51" s="5">
        <v>160900</v>
      </c>
      <c r="M51" s="5">
        <v>0</v>
      </c>
      <c r="N51" s="2" t="s">
        <v>2</v>
      </c>
      <c r="O51" s="5">
        <v>0</v>
      </c>
      <c r="P51" s="5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11">
        <v>0.61</v>
      </c>
    </row>
    <row r="52" spans="1:22" x14ac:dyDescent="0.25">
      <c r="A52" s="2" t="str">
        <f>"2903"</f>
        <v>2903</v>
      </c>
      <c r="B52" s="2" t="str">
        <f>"1"</f>
        <v>1</v>
      </c>
      <c r="C52" s="2" t="s">
        <v>414</v>
      </c>
      <c r="D52" s="2" t="str">
        <f t="shared" si="3"/>
        <v>1</v>
      </c>
      <c r="E52" t="s">
        <v>159</v>
      </c>
      <c r="F52" t="s">
        <v>141</v>
      </c>
      <c r="G52" t="s">
        <v>160</v>
      </c>
      <c r="H52" t="s">
        <v>24</v>
      </c>
      <c r="I52" t="str">
        <f>"07981"</f>
        <v>07981</v>
      </c>
      <c r="J52" s="5">
        <v>84900</v>
      </c>
      <c r="K52" s="5">
        <v>0</v>
      </c>
      <c r="L52" s="5">
        <v>84900</v>
      </c>
      <c r="M52" s="5">
        <v>0</v>
      </c>
      <c r="N52" s="2" t="s">
        <v>2</v>
      </c>
      <c r="O52" s="5">
        <v>0</v>
      </c>
      <c r="P52" s="5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11">
        <v>2.5299999999999998</v>
      </c>
    </row>
    <row r="53" spans="1:22" x14ac:dyDescent="0.25">
      <c r="A53" s="2" t="str">
        <f>"2903"</f>
        <v>2903</v>
      </c>
      <c r="B53" s="2" t="str">
        <f>"17.01"</f>
        <v>17.01</v>
      </c>
      <c r="C53" s="2" t="s">
        <v>414</v>
      </c>
      <c r="D53" s="2" t="str">
        <f t="shared" si="3"/>
        <v>1</v>
      </c>
      <c r="E53" t="s">
        <v>161</v>
      </c>
      <c r="F53" t="s">
        <v>162</v>
      </c>
      <c r="G53" t="s">
        <v>163</v>
      </c>
      <c r="H53" t="s">
        <v>24</v>
      </c>
      <c r="I53" t="str">
        <f>"07981"</f>
        <v>07981</v>
      </c>
      <c r="J53" s="5">
        <v>214500</v>
      </c>
      <c r="K53" s="5">
        <v>0</v>
      </c>
      <c r="L53" s="5">
        <v>214500</v>
      </c>
      <c r="M53" s="5">
        <v>0</v>
      </c>
      <c r="N53" s="2" t="s">
        <v>2</v>
      </c>
      <c r="O53" s="5">
        <v>0</v>
      </c>
      <c r="P53" s="5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11">
        <v>0.79</v>
      </c>
    </row>
    <row r="54" spans="1:22" x14ac:dyDescent="0.25">
      <c r="A54" s="2" t="str">
        <f>"2904"</f>
        <v>2904</v>
      </c>
      <c r="B54" s="2" t="str">
        <f>"11"</f>
        <v>11</v>
      </c>
      <c r="C54" s="2" t="s">
        <v>414</v>
      </c>
      <c r="D54" s="2" t="str">
        <f t="shared" si="3"/>
        <v>1</v>
      </c>
      <c r="E54" t="s">
        <v>164</v>
      </c>
      <c r="F54" t="s">
        <v>165</v>
      </c>
      <c r="G54" t="s">
        <v>166</v>
      </c>
      <c r="H54" t="s">
        <v>24</v>
      </c>
      <c r="I54" t="str">
        <f>"07981"</f>
        <v>07981</v>
      </c>
      <c r="J54" s="5">
        <v>243800</v>
      </c>
      <c r="K54" s="5">
        <v>0</v>
      </c>
      <c r="L54" s="5">
        <v>243800</v>
      </c>
      <c r="M54" s="5">
        <v>0</v>
      </c>
      <c r="N54" s="2" t="s">
        <v>2</v>
      </c>
      <c r="O54" s="5">
        <v>0</v>
      </c>
      <c r="P54" s="5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11">
        <v>0.75</v>
      </c>
    </row>
    <row r="55" spans="1:22" x14ac:dyDescent="0.25">
      <c r="A55" s="2" t="str">
        <f>"3002"</f>
        <v>3002</v>
      </c>
      <c r="B55" s="2" t="str">
        <f>"6"</f>
        <v>6</v>
      </c>
      <c r="C55" s="2" t="s">
        <v>414</v>
      </c>
      <c r="D55" s="2" t="str">
        <f t="shared" si="3"/>
        <v>1</v>
      </c>
      <c r="E55" t="s">
        <v>168</v>
      </c>
      <c r="F55" t="s">
        <v>169</v>
      </c>
      <c r="G55" t="s">
        <v>170</v>
      </c>
      <c r="H55" t="s">
        <v>171</v>
      </c>
      <c r="I55" t="str">
        <f>"07302"</f>
        <v>07302</v>
      </c>
      <c r="J55" s="5">
        <v>81600</v>
      </c>
      <c r="K55" s="5">
        <v>0</v>
      </c>
      <c r="L55" s="5">
        <v>81600</v>
      </c>
      <c r="M55" s="5">
        <v>0</v>
      </c>
      <c r="N55" s="2" t="s">
        <v>2</v>
      </c>
      <c r="O55" s="5">
        <v>0</v>
      </c>
      <c r="P55" s="5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11">
        <v>8.83</v>
      </c>
    </row>
    <row r="56" spans="1:22" x14ac:dyDescent="0.25">
      <c r="A56" s="2" t="str">
        <f>"3002"</f>
        <v>3002</v>
      </c>
      <c r="B56" s="2" t="str">
        <f>"8"</f>
        <v>8</v>
      </c>
      <c r="C56" s="2" t="s">
        <v>414</v>
      </c>
      <c r="D56" s="2" t="str">
        <f t="shared" si="3"/>
        <v>1</v>
      </c>
      <c r="E56" t="s">
        <v>172</v>
      </c>
      <c r="F56" t="s">
        <v>173</v>
      </c>
      <c r="G56" t="s">
        <v>174</v>
      </c>
      <c r="H56" t="s">
        <v>175</v>
      </c>
      <c r="I56" t="str">
        <f>"77252"</f>
        <v>77252</v>
      </c>
      <c r="J56" s="5">
        <v>60500</v>
      </c>
      <c r="K56" s="5">
        <v>0</v>
      </c>
      <c r="L56" s="5">
        <v>60500</v>
      </c>
      <c r="M56" s="5">
        <v>0</v>
      </c>
      <c r="N56" s="2" t="s">
        <v>2</v>
      </c>
      <c r="O56" s="5">
        <v>0</v>
      </c>
      <c r="P56" s="5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11">
        <v>2.84</v>
      </c>
    </row>
    <row r="57" spans="1:22" x14ac:dyDescent="0.25">
      <c r="A57" s="2" t="str">
        <f>"3101"</f>
        <v>3101</v>
      </c>
      <c r="B57" s="2" t="str">
        <f>"6"</f>
        <v>6</v>
      </c>
      <c r="C57" s="2" t="s">
        <v>414</v>
      </c>
      <c r="D57" s="2" t="str">
        <f t="shared" si="3"/>
        <v>1</v>
      </c>
      <c r="E57" t="s">
        <v>177</v>
      </c>
      <c r="F57" t="s">
        <v>178</v>
      </c>
      <c r="G57" t="s">
        <v>179</v>
      </c>
      <c r="H57" t="s">
        <v>24</v>
      </c>
      <c r="I57" t="str">
        <f t="shared" ref="I57:I62" si="4">"07981"</f>
        <v>07981</v>
      </c>
      <c r="J57" s="5">
        <v>119900</v>
      </c>
      <c r="K57" s="5">
        <v>0</v>
      </c>
      <c r="L57" s="5">
        <v>119900</v>
      </c>
      <c r="M57" s="5">
        <v>0</v>
      </c>
      <c r="N57" s="2" t="s">
        <v>2</v>
      </c>
      <c r="O57" s="5">
        <v>0</v>
      </c>
      <c r="P57" s="5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11">
        <v>0.3</v>
      </c>
    </row>
    <row r="58" spans="1:22" x14ac:dyDescent="0.25">
      <c r="A58" s="2" t="str">
        <f>"3101"</f>
        <v>3101</v>
      </c>
      <c r="B58" s="2" t="str">
        <f>"10"</f>
        <v>10</v>
      </c>
      <c r="C58" s="2" t="s">
        <v>414</v>
      </c>
      <c r="D58" s="2" t="str">
        <f t="shared" si="3"/>
        <v>1</v>
      </c>
      <c r="E58" t="s">
        <v>182</v>
      </c>
      <c r="F58" t="s">
        <v>180</v>
      </c>
      <c r="G58" t="s">
        <v>183</v>
      </c>
      <c r="H58" t="s">
        <v>24</v>
      </c>
      <c r="I58" t="str">
        <f t="shared" si="4"/>
        <v>07981</v>
      </c>
      <c r="J58" s="5">
        <v>93300</v>
      </c>
      <c r="K58" s="5">
        <v>0</v>
      </c>
      <c r="L58" s="5">
        <v>93300</v>
      </c>
      <c r="M58" s="5">
        <v>0</v>
      </c>
      <c r="N58" s="2" t="s">
        <v>2</v>
      </c>
      <c r="O58" s="5">
        <v>0</v>
      </c>
      <c r="P58" s="5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11">
        <v>0.28999999999999998</v>
      </c>
    </row>
    <row r="59" spans="1:22" x14ac:dyDescent="0.25">
      <c r="A59" s="2" t="str">
        <f>"3101"</f>
        <v>3101</v>
      </c>
      <c r="B59" s="2" t="str">
        <f>"11"</f>
        <v>11</v>
      </c>
      <c r="C59" s="2" t="s">
        <v>414</v>
      </c>
      <c r="D59" s="2" t="str">
        <f t="shared" si="3"/>
        <v>1</v>
      </c>
      <c r="E59" t="s">
        <v>184</v>
      </c>
      <c r="F59" t="s">
        <v>180</v>
      </c>
      <c r="G59" t="s">
        <v>183</v>
      </c>
      <c r="H59" t="s">
        <v>24</v>
      </c>
      <c r="I59" t="str">
        <f t="shared" si="4"/>
        <v>07981</v>
      </c>
      <c r="J59" s="5">
        <v>37400</v>
      </c>
      <c r="K59" s="5">
        <v>0</v>
      </c>
      <c r="L59" s="5">
        <v>37400</v>
      </c>
      <c r="M59" s="5">
        <v>0</v>
      </c>
      <c r="N59" s="2" t="s">
        <v>2</v>
      </c>
      <c r="O59" s="5">
        <v>0</v>
      </c>
      <c r="P59" s="5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11">
        <v>0.11</v>
      </c>
    </row>
    <row r="60" spans="1:22" x14ac:dyDescent="0.25">
      <c r="A60" s="2" t="str">
        <f>"3101"</f>
        <v>3101</v>
      </c>
      <c r="B60" s="2" t="str">
        <f>"12"</f>
        <v>12</v>
      </c>
      <c r="C60" s="2" t="s">
        <v>414</v>
      </c>
      <c r="D60" s="2" t="str">
        <f t="shared" si="3"/>
        <v>1</v>
      </c>
      <c r="E60" t="s">
        <v>185</v>
      </c>
      <c r="F60" t="s">
        <v>186</v>
      </c>
      <c r="G60" t="s">
        <v>187</v>
      </c>
      <c r="H60" t="s">
        <v>188</v>
      </c>
      <c r="I60" t="str">
        <f t="shared" si="4"/>
        <v>07981</v>
      </c>
      <c r="J60" s="5">
        <v>2279300</v>
      </c>
      <c r="K60" s="5">
        <v>0</v>
      </c>
      <c r="L60" s="5">
        <v>2279300</v>
      </c>
      <c r="M60" s="5">
        <v>0</v>
      </c>
      <c r="N60" s="2" t="s">
        <v>2</v>
      </c>
      <c r="O60" s="5">
        <v>0</v>
      </c>
      <c r="P60" s="5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11">
        <v>15.72</v>
      </c>
    </row>
    <row r="61" spans="1:22" x14ac:dyDescent="0.25">
      <c r="A61" s="2" t="str">
        <f>"3101"</f>
        <v>3101</v>
      </c>
      <c r="B61" s="2" t="str">
        <f>"14"</f>
        <v>14</v>
      </c>
      <c r="C61" s="2" t="s">
        <v>414</v>
      </c>
      <c r="D61" s="2" t="str">
        <f t="shared" si="3"/>
        <v>1</v>
      </c>
      <c r="E61" t="s">
        <v>189</v>
      </c>
      <c r="F61" t="s">
        <v>190</v>
      </c>
      <c r="G61" t="s">
        <v>183</v>
      </c>
      <c r="H61" t="s">
        <v>24</v>
      </c>
      <c r="I61" t="str">
        <f t="shared" si="4"/>
        <v>07981</v>
      </c>
      <c r="J61" s="5">
        <v>622000</v>
      </c>
      <c r="K61" s="5">
        <v>0</v>
      </c>
      <c r="L61" s="5">
        <v>622000</v>
      </c>
      <c r="M61" s="5">
        <v>0</v>
      </c>
      <c r="N61" s="2" t="s">
        <v>2</v>
      </c>
      <c r="O61" s="5">
        <v>0</v>
      </c>
      <c r="P61" s="5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11">
        <v>3.11</v>
      </c>
    </row>
    <row r="62" spans="1:22" x14ac:dyDescent="0.25">
      <c r="A62" s="2" t="str">
        <f>"3102"</f>
        <v>3102</v>
      </c>
      <c r="B62" s="2" t="str">
        <f>"1"</f>
        <v>1</v>
      </c>
      <c r="C62" s="2" t="s">
        <v>414</v>
      </c>
      <c r="D62" s="2" t="str">
        <f t="shared" si="3"/>
        <v>1</v>
      </c>
      <c r="E62" t="s">
        <v>191</v>
      </c>
      <c r="F62" t="s">
        <v>190</v>
      </c>
      <c r="G62" t="s">
        <v>183</v>
      </c>
      <c r="H62" t="s">
        <v>24</v>
      </c>
      <c r="I62" t="str">
        <f t="shared" si="4"/>
        <v>07981</v>
      </c>
      <c r="J62" s="5">
        <v>305500</v>
      </c>
      <c r="K62" s="5">
        <v>0</v>
      </c>
      <c r="L62" s="5">
        <v>305500</v>
      </c>
      <c r="M62" s="5">
        <v>0</v>
      </c>
      <c r="N62" s="2" t="s">
        <v>2</v>
      </c>
      <c r="O62" s="5">
        <v>0</v>
      </c>
      <c r="P62" s="5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11">
        <v>1.61</v>
      </c>
    </row>
    <row r="63" spans="1:22" x14ac:dyDescent="0.25">
      <c r="A63" s="2" t="str">
        <f>"3103"</f>
        <v>3103</v>
      </c>
      <c r="B63" s="2" t="str">
        <f>"1"</f>
        <v>1</v>
      </c>
      <c r="C63" s="2" t="s">
        <v>414</v>
      </c>
      <c r="D63" s="2" t="str">
        <f t="shared" si="3"/>
        <v>1</v>
      </c>
      <c r="E63" t="s">
        <v>192</v>
      </c>
      <c r="F63" t="s">
        <v>193</v>
      </c>
      <c r="G63" t="s">
        <v>194</v>
      </c>
      <c r="H63" t="s">
        <v>54</v>
      </c>
      <c r="I63" t="str">
        <f>"07005"</f>
        <v>07005</v>
      </c>
      <c r="J63" s="5">
        <v>234200</v>
      </c>
      <c r="K63" s="5">
        <v>0</v>
      </c>
      <c r="L63" s="5">
        <v>234200</v>
      </c>
      <c r="M63" s="5">
        <v>0</v>
      </c>
      <c r="N63" s="2" t="s">
        <v>2</v>
      </c>
      <c r="O63" s="5">
        <v>0</v>
      </c>
      <c r="P63" s="5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11">
        <v>0.43</v>
      </c>
    </row>
    <row r="64" spans="1:22" x14ac:dyDescent="0.25">
      <c r="A64" s="2" t="str">
        <f>"3104"</f>
        <v>3104</v>
      </c>
      <c r="B64" s="2" t="str">
        <f>"1"</f>
        <v>1</v>
      </c>
      <c r="C64" s="2" t="s">
        <v>414</v>
      </c>
      <c r="D64" s="2" t="str">
        <f t="shared" si="3"/>
        <v>1</v>
      </c>
      <c r="E64" t="s">
        <v>195</v>
      </c>
      <c r="F64" t="s">
        <v>190</v>
      </c>
      <c r="G64" t="s">
        <v>183</v>
      </c>
      <c r="H64" t="s">
        <v>24</v>
      </c>
      <c r="I64" t="str">
        <f>"07981"</f>
        <v>07981</v>
      </c>
      <c r="J64" s="5">
        <v>118300</v>
      </c>
      <c r="K64" s="5">
        <v>0</v>
      </c>
      <c r="L64" s="5">
        <v>118300</v>
      </c>
      <c r="M64" s="5">
        <v>0</v>
      </c>
      <c r="N64" s="2" t="s">
        <v>2</v>
      </c>
      <c r="O64" s="5">
        <v>0</v>
      </c>
      <c r="P64" s="5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11">
        <v>0.23</v>
      </c>
    </row>
    <row r="65" spans="1:22" x14ac:dyDescent="0.25">
      <c r="A65" s="2" t="str">
        <f>"3104"</f>
        <v>3104</v>
      </c>
      <c r="B65" s="2" t="str">
        <f>"2"</f>
        <v>2</v>
      </c>
      <c r="C65" s="2" t="s">
        <v>414</v>
      </c>
      <c r="D65" s="2" t="str">
        <f t="shared" si="3"/>
        <v>1</v>
      </c>
      <c r="E65" t="s">
        <v>196</v>
      </c>
      <c r="F65" t="s">
        <v>197</v>
      </c>
      <c r="G65" t="s">
        <v>179</v>
      </c>
      <c r="H65" t="s">
        <v>24</v>
      </c>
      <c r="I65" t="str">
        <f>"07981"</f>
        <v>07981</v>
      </c>
      <c r="J65" s="5">
        <v>121100</v>
      </c>
      <c r="K65" s="5">
        <v>0</v>
      </c>
      <c r="L65" s="5">
        <v>121100</v>
      </c>
      <c r="M65" s="5">
        <v>0</v>
      </c>
      <c r="N65" s="2" t="s">
        <v>2</v>
      </c>
      <c r="O65" s="5">
        <v>0</v>
      </c>
      <c r="P65" s="5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11">
        <v>0.34</v>
      </c>
    </row>
    <row r="66" spans="1:22" x14ac:dyDescent="0.25">
      <c r="A66" s="2" t="str">
        <f>"3104"</f>
        <v>3104</v>
      </c>
      <c r="B66" s="2" t="str">
        <f>"3"</f>
        <v>3</v>
      </c>
      <c r="C66" s="2" t="s">
        <v>414</v>
      </c>
      <c r="D66" s="2" t="str">
        <f t="shared" si="3"/>
        <v>1</v>
      </c>
      <c r="E66" t="s">
        <v>198</v>
      </c>
      <c r="F66" t="s">
        <v>178</v>
      </c>
      <c r="G66" t="s">
        <v>179</v>
      </c>
      <c r="H66" t="s">
        <v>24</v>
      </c>
      <c r="I66" t="str">
        <f>"07981"</f>
        <v>07981</v>
      </c>
      <c r="J66" s="5">
        <v>271500</v>
      </c>
      <c r="K66" s="5">
        <v>0</v>
      </c>
      <c r="L66" s="5">
        <v>271500</v>
      </c>
      <c r="M66" s="5">
        <v>0</v>
      </c>
      <c r="N66" s="2" t="s">
        <v>2</v>
      </c>
      <c r="O66" s="5">
        <v>0</v>
      </c>
      <c r="P66" s="5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11">
        <v>0.93</v>
      </c>
    </row>
    <row r="67" spans="1:22" x14ac:dyDescent="0.25">
      <c r="A67" s="2" t="str">
        <f>"3104"</f>
        <v>3104</v>
      </c>
      <c r="B67" s="2" t="str">
        <f>"4"</f>
        <v>4</v>
      </c>
      <c r="C67" s="2" t="s">
        <v>414</v>
      </c>
      <c r="D67" s="2" t="str">
        <f t="shared" ref="D67:D98" si="5">"1"</f>
        <v>1</v>
      </c>
      <c r="E67" t="s">
        <v>199</v>
      </c>
      <c r="F67" t="s">
        <v>178</v>
      </c>
      <c r="G67" t="s">
        <v>179</v>
      </c>
      <c r="H67" t="s">
        <v>24</v>
      </c>
      <c r="I67" t="str">
        <f>"07981"</f>
        <v>07981</v>
      </c>
      <c r="J67" s="5">
        <v>123300</v>
      </c>
      <c r="K67" s="5">
        <v>0</v>
      </c>
      <c r="L67" s="5">
        <v>123300</v>
      </c>
      <c r="M67" s="5">
        <v>0</v>
      </c>
      <c r="N67" s="2" t="s">
        <v>2</v>
      </c>
      <c r="O67" s="5">
        <v>0</v>
      </c>
      <c r="P67" s="5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11">
        <v>0.43</v>
      </c>
    </row>
    <row r="68" spans="1:22" x14ac:dyDescent="0.25">
      <c r="A68" s="2" t="str">
        <f>"3201"</f>
        <v>3201</v>
      </c>
      <c r="B68" s="2" t="str">
        <f>"2"</f>
        <v>2</v>
      </c>
      <c r="C68" s="2" t="s">
        <v>414</v>
      </c>
      <c r="D68" s="2" t="str">
        <f t="shared" si="5"/>
        <v>1</v>
      </c>
      <c r="E68" t="s">
        <v>201</v>
      </c>
      <c r="F68" t="s">
        <v>200</v>
      </c>
      <c r="G68" t="s">
        <v>170</v>
      </c>
      <c r="H68" t="s">
        <v>171</v>
      </c>
      <c r="I68" t="str">
        <f>"07302"</f>
        <v>07302</v>
      </c>
      <c r="J68" s="5">
        <v>150000</v>
      </c>
      <c r="K68" s="5">
        <v>0</v>
      </c>
      <c r="L68" s="5">
        <v>150000</v>
      </c>
      <c r="M68" s="5">
        <v>0</v>
      </c>
      <c r="N68" s="2" t="s">
        <v>2</v>
      </c>
      <c r="O68" s="5">
        <v>0</v>
      </c>
      <c r="P68" s="5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11">
        <v>6.44</v>
      </c>
    </row>
    <row r="69" spans="1:22" x14ac:dyDescent="0.25">
      <c r="A69" s="2" t="str">
        <f>"3201"</f>
        <v>3201</v>
      </c>
      <c r="B69" s="2" t="str">
        <f>"3"</f>
        <v>3</v>
      </c>
      <c r="C69" s="2" t="s">
        <v>414</v>
      </c>
      <c r="D69" s="2" t="str">
        <f t="shared" si="5"/>
        <v>1</v>
      </c>
      <c r="E69" t="s">
        <v>201</v>
      </c>
      <c r="F69" t="s">
        <v>202</v>
      </c>
      <c r="G69" t="s">
        <v>203</v>
      </c>
      <c r="H69" t="s">
        <v>79</v>
      </c>
      <c r="I69" t="str">
        <f>"08701"</f>
        <v>08701</v>
      </c>
      <c r="J69" s="5">
        <v>42200</v>
      </c>
      <c r="K69" s="5">
        <v>0</v>
      </c>
      <c r="L69" s="5">
        <v>42200</v>
      </c>
      <c r="M69" s="5">
        <v>0</v>
      </c>
      <c r="N69" s="2" t="s">
        <v>2</v>
      </c>
      <c r="O69" s="5">
        <v>0</v>
      </c>
      <c r="P69" s="5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11">
        <v>2.2400000000000002</v>
      </c>
    </row>
    <row r="70" spans="1:22" x14ac:dyDescent="0.25">
      <c r="A70" s="2" t="str">
        <f>"3301"</f>
        <v>3301</v>
      </c>
      <c r="B70" s="2" t="str">
        <f>"1"</f>
        <v>1</v>
      </c>
      <c r="C70" s="2" t="s">
        <v>414</v>
      </c>
      <c r="D70" s="2" t="str">
        <f t="shared" si="5"/>
        <v>1</v>
      </c>
      <c r="E70" t="s">
        <v>204</v>
      </c>
      <c r="F70" t="s">
        <v>205</v>
      </c>
      <c r="G70" t="s">
        <v>206</v>
      </c>
      <c r="H70" t="s">
        <v>207</v>
      </c>
      <c r="I70" t="str">
        <f>"07095"</f>
        <v>07095</v>
      </c>
      <c r="J70" s="5">
        <v>287100</v>
      </c>
      <c r="K70" s="5">
        <v>0</v>
      </c>
      <c r="L70" s="5">
        <v>287100</v>
      </c>
      <c r="M70" s="5">
        <v>0</v>
      </c>
      <c r="N70" s="2" t="s">
        <v>2</v>
      </c>
      <c r="O70" s="5">
        <v>0</v>
      </c>
      <c r="P70" s="5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11">
        <v>31.09</v>
      </c>
    </row>
    <row r="71" spans="1:22" x14ac:dyDescent="0.25">
      <c r="A71" s="2" t="str">
        <f>"3301"</f>
        <v>3301</v>
      </c>
      <c r="B71" s="2" t="str">
        <f>"2"</f>
        <v>2</v>
      </c>
      <c r="C71" s="2" t="s">
        <v>414</v>
      </c>
      <c r="D71" s="2" t="str">
        <f t="shared" si="5"/>
        <v>1</v>
      </c>
      <c r="E71" t="s">
        <v>208</v>
      </c>
      <c r="F71" t="s">
        <v>209</v>
      </c>
      <c r="G71" t="s">
        <v>210</v>
      </c>
      <c r="H71" t="s">
        <v>211</v>
      </c>
      <c r="I71" t="str">
        <f>"34228"</f>
        <v>34228</v>
      </c>
      <c r="J71" s="5">
        <v>475000</v>
      </c>
      <c r="K71" s="5">
        <v>0</v>
      </c>
      <c r="L71" s="5">
        <v>475000</v>
      </c>
      <c r="M71" s="5">
        <v>0</v>
      </c>
      <c r="N71" s="2" t="s">
        <v>2</v>
      </c>
      <c r="O71" s="5">
        <v>0</v>
      </c>
      <c r="P71" s="5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11">
        <v>6.8</v>
      </c>
    </row>
    <row r="72" spans="1:22" x14ac:dyDescent="0.25">
      <c r="A72" s="2" t="str">
        <f>"3401"</f>
        <v>3401</v>
      </c>
      <c r="B72" s="2" t="str">
        <f>"1"</f>
        <v>1</v>
      </c>
      <c r="C72" s="2" t="s">
        <v>414</v>
      </c>
      <c r="D72" s="2" t="str">
        <f t="shared" si="5"/>
        <v>1</v>
      </c>
      <c r="E72" t="s">
        <v>212</v>
      </c>
      <c r="F72" t="s">
        <v>205</v>
      </c>
      <c r="G72" t="s">
        <v>206</v>
      </c>
      <c r="H72" t="s">
        <v>207</v>
      </c>
      <c r="I72" t="str">
        <f>"07095"</f>
        <v>07095</v>
      </c>
      <c r="J72" s="5">
        <v>514100</v>
      </c>
      <c r="K72" s="5">
        <v>0</v>
      </c>
      <c r="L72" s="5">
        <v>514100</v>
      </c>
      <c r="M72" s="5">
        <v>0</v>
      </c>
      <c r="N72" s="2" t="s">
        <v>2</v>
      </c>
      <c r="O72" s="5">
        <v>0</v>
      </c>
      <c r="P72" s="5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11">
        <v>55.66</v>
      </c>
    </row>
    <row r="73" spans="1:22" x14ac:dyDescent="0.25">
      <c r="A73" s="2" t="str">
        <f>"3401"</f>
        <v>3401</v>
      </c>
      <c r="B73" s="2" t="str">
        <f>"2"</f>
        <v>2</v>
      </c>
      <c r="C73" s="2" t="s">
        <v>414</v>
      </c>
      <c r="D73" s="2" t="str">
        <f t="shared" si="5"/>
        <v>1</v>
      </c>
      <c r="E73" t="s">
        <v>213</v>
      </c>
      <c r="F73" t="s">
        <v>169</v>
      </c>
      <c r="G73" t="s">
        <v>214</v>
      </c>
      <c r="H73" t="s">
        <v>171</v>
      </c>
      <c r="I73" t="str">
        <f>"07302"</f>
        <v>07302</v>
      </c>
      <c r="J73" s="5">
        <v>2331200</v>
      </c>
      <c r="K73" s="5">
        <v>0</v>
      </c>
      <c r="L73" s="5">
        <v>2331200</v>
      </c>
      <c r="M73" s="5">
        <v>0</v>
      </c>
      <c r="N73" s="2" t="s">
        <v>2</v>
      </c>
      <c r="O73" s="5">
        <v>0</v>
      </c>
      <c r="P73" s="5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11">
        <v>8.8000000000000007</v>
      </c>
    </row>
    <row r="74" spans="1:22" x14ac:dyDescent="0.25">
      <c r="A74" s="2" t="str">
        <f>"3501"</f>
        <v>3501</v>
      </c>
      <c r="B74" s="2" t="str">
        <f>"4"</f>
        <v>4</v>
      </c>
      <c r="C74" s="2" t="s">
        <v>414</v>
      </c>
      <c r="D74" s="2" t="str">
        <f t="shared" si="5"/>
        <v>1</v>
      </c>
      <c r="E74" t="s">
        <v>216</v>
      </c>
      <c r="F74" t="s">
        <v>217</v>
      </c>
      <c r="G74" t="s">
        <v>218</v>
      </c>
      <c r="H74" t="s">
        <v>219</v>
      </c>
      <c r="I74" t="str">
        <f>"07930"</f>
        <v>07930</v>
      </c>
      <c r="J74" s="5">
        <v>192000</v>
      </c>
      <c r="K74" s="5">
        <v>0</v>
      </c>
      <c r="L74" s="5">
        <v>192000</v>
      </c>
      <c r="M74" s="5">
        <v>0</v>
      </c>
      <c r="N74" s="2" t="s">
        <v>215</v>
      </c>
      <c r="O74" s="5">
        <v>0</v>
      </c>
      <c r="P74" s="5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11">
        <v>0.47</v>
      </c>
    </row>
    <row r="75" spans="1:22" x14ac:dyDescent="0.25">
      <c r="A75" s="2" t="str">
        <f>"3502"</f>
        <v>3502</v>
      </c>
      <c r="B75" s="2" t="str">
        <f>"12.01"</f>
        <v>12.01</v>
      </c>
      <c r="C75" s="2" t="s">
        <v>414</v>
      </c>
      <c r="D75" s="2" t="str">
        <f t="shared" si="5"/>
        <v>1</v>
      </c>
      <c r="E75" t="s">
        <v>220</v>
      </c>
      <c r="F75" t="s">
        <v>221</v>
      </c>
      <c r="G75" t="s">
        <v>22</v>
      </c>
      <c r="H75" t="s">
        <v>1</v>
      </c>
      <c r="I75" t="str">
        <f>"07950"</f>
        <v>07950</v>
      </c>
      <c r="J75" s="5">
        <v>184000</v>
      </c>
      <c r="K75" s="5">
        <v>0</v>
      </c>
      <c r="L75" s="5">
        <v>184000</v>
      </c>
      <c r="M75" s="5">
        <v>0</v>
      </c>
      <c r="N75" s="2" t="s">
        <v>215</v>
      </c>
      <c r="O75" s="5">
        <v>0</v>
      </c>
      <c r="P75" s="5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11">
        <v>0.33</v>
      </c>
    </row>
    <row r="76" spans="1:22" x14ac:dyDescent="0.25">
      <c r="A76" s="2" t="str">
        <f>"3502"</f>
        <v>3502</v>
      </c>
      <c r="B76" s="2" t="str">
        <f>"12.02"</f>
        <v>12.02</v>
      </c>
      <c r="C76" s="2" t="s">
        <v>414</v>
      </c>
      <c r="D76" s="2" t="str">
        <f t="shared" si="5"/>
        <v>1</v>
      </c>
      <c r="E76" t="s">
        <v>222</v>
      </c>
      <c r="F76" t="s">
        <v>223</v>
      </c>
      <c r="G76" t="s">
        <v>22</v>
      </c>
      <c r="H76" t="s">
        <v>1</v>
      </c>
      <c r="I76" t="str">
        <f>"07950"</f>
        <v>07950</v>
      </c>
      <c r="J76" s="5">
        <v>182600</v>
      </c>
      <c r="K76" s="5">
        <v>0</v>
      </c>
      <c r="L76" s="5">
        <v>182600</v>
      </c>
      <c r="M76" s="5">
        <v>0</v>
      </c>
      <c r="N76" s="2" t="s">
        <v>215</v>
      </c>
      <c r="O76" s="5">
        <v>0</v>
      </c>
      <c r="P76" s="5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11">
        <v>0.3</v>
      </c>
    </row>
    <row r="77" spans="1:22" x14ac:dyDescent="0.25">
      <c r="A77" s="2" t="str">
        <f>"3503"</f>
        <v>3503</v>
      </c>
      <c r="B77" s="2" t="str">
        <f>"17"</f>
        <v>17</v>
      </c>
      <c r="C77" s="2" t="s">
        <v>414</v>
      </c>
      <c r="D77" s="2" t="str">
        <f t="shared" si="5"/>
        <v>1</v>
      </c>
      <c r="E77" t="s">
        <v>225</v>
      </c>
      <c r="F77" t="s">
        <v>226</v>
      </c>
      <c r="G77" t="s">
        <v>224</v>
      </c>
      <c r="H77" t="s">
        <v>24</v>
      </c>
      <c r="I77" t="str">
        <f>"07981"</f>
        <v>07981</v>
      </c>
      <c r="J77" s="5">
        <v>8200</v>
      </c>
      <c r="K77" s="5">
        <v>0</v>
      </c>
      <c r="L77" s="5">
        <v>8200</v>
      </c>
      <c r="M77" s="5">
        <v>0</v>
      </c>
      <c r="N77" s="2" t="s">
        <v>215</v>
      </c>
      <c r="O77" s="5">
        <v>0</v>
      </c>
      <c r="P77" s="5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11">
        <v>0.16</v>
      </c>
    </row>
    <row r="78" spans="1:22" x14ac:dyDescent="0.25">
      <c r="A78" s="2" t="str">
        <f>"3602"</f>
        <v>3602</v>
      </c>
      <c r="B78" s="2" t="str">
        <f>"7"</f>
        <v>7</v>
      </c>
      <c r="C78" s="2" t="s">
        <v>414</v>
      </c>
      <c r="D78" s="2" t="str">
        <f t="shared" si="5"/>
        <v>1</v>
      </c>
      <c r="E78" t="s">
        <v>227</v>
      </c>
      <c r="F78" t="s">
        <v>26</v>
      </c>
      <c r="G78" t="s">
        <v>27</v>
      </c>
      <c r="H78" t="s">
        <v>23</v>
      </c>
      <c r="I78" t="str">
        <f>"07927"</f>
        <v>07927</v>
      </c>
      <c r="J78" s="5">
        <v>2900</v>
      </c>
      <c r="K78" s="5">
        <v>0</v>
      </c>
      <c r="L78" s="5">
        <v>2900</v>
      </c>
      <c r="M78" s="5">
        <v>0</v>
      </c>
      <c r="N78" s="2" t="s">
        <v>215</v>
      </c>
      <c r="O78" s="5">
        <v>0</v>
      </c>
      <c r="P78" s="5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11">
        <v>0.06</v>
      </c>
    </row>
    <row r="79" spans="1:22" x14ac:dyDescent="0.25">
      <c r="A79" s="2" t="str">
        <f>"3901"</f>
        <v>3901</v>
      </c>
      <c r="B79" s="2" t="str">
        <f>"23.01"</f>
        <v>23.01</v>
      </c>
      <c r="C79" s="2" t="s">
        <v>414</v>
      </c>
      <c r="D79" s="2" t="str">
        <f t="shared" si="5"/>
        <v>1</v>
      </c>
      <c r="E79" t="s">
        <v>230</v>
      </c>
      <c r="F79" t="s">
        <v>229</v>
      </c>
      <c r="G79" t="s">
        <v>90</v>
      </c>
      <c r="H79" t="s">
        <v>23</v>
      </c>
      <c r="I79" t="str">
        <f>"07927"</f>
        <v>07927</v>
      </c>
      <c r="J79" s="5">
        <v>184800</v>
      </c>
      <c r="K79" s="5">
        <v>0</v>
      </c>
      <c r="L79" s="5">
        <v>184800</v>
      </c>
      <c r="M79" s="5">
        <v>0</v>
      </c>
      <c r="N79" s="2" t="s">
        <v>215</v>
      </c>
      <c r="O79" s="5">
        <v>0</v>
      </c>
      <c r="P79" s="5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11">
        <v>0.51</v>
      </c>
    </row>
    <row r="80" spans="1:22" x14ac:dyDescent="0.25">
      <c r="A80" s="2" t="str">
        <f>"3902"</f>
        <v>3902</v>
      </c>
      <c r="B80" s="2" t="str">
        <f>"2"</f>
        <v>2</v>
      </c>
      <c r="C80" s="2" t="s">
        <v>414</v>
      </c>
      <c r="D80" s="2" t="str">
        <f t="shared" si="5"/>
        <v>1</v>
      </c>
      <c r="E80" t="s">
        <v>232</v>
      </c>
      <c r="F80" t="s">
        <v>233</v>
      </c>
      <c r="G80" t="s">
        <v>61</v>
      </c>
      <c r="H80" t="s">
        <v>23</v>
      </c>
      <c r="I80" t="str">
        <f>"07927"</f>
        <v>07927</v>
      </c>
      <c r="J80" s="5">
        <v>35100</v>
      </c>
      <c r="K80" s="5">
        <v>0</v>
      </c>
      <c r="L80" s="5">
        <v>35100</v>
      </c>
      <c r="M80" s="5">
        <v>0</v>
      </c>
      <c r="N80" s="2" t="s">
        <v>215</v>
      </c>
      <c r="O80" s="5">
        <v>0</v>
      </c>
      <c r="P80" s="5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11">
        <v>0.55000000000000004</v>
      </c>
    </row>
    <row r="81" spans="1:22" x14ac:dyDescent="0.25">
      <c r="A81" s="2" t="str">
        <f>"4101"</f>
        <v>4101</v>
      </c>
      <c r="B81" s="2" t="str">
        <f>"1"</f>
        <v>1</v>
      </c>
      <c r="C81" s="2" t="s">
        <v>414</v>
      </c>
      <c r="D81" s="2" t="str">
        <f t="shared" si="5"/>
        <v>1</v>
      </c>
      <c r="E81" t="s">
        <v>228</v>
      </c>
      <c r="F81" t="s">
        <v>237</v>
      </c>
      <c r="G81" t="s">
        <v>228</v>
      </c>
      <c r="H81" t="s">
        <v>24</v>
      </c>
      <c r="I81" t="str">
        <f>"07981"</f>
        <v>07981</v>
      </c>
      <c r="J81" s="5">
        <v>458800</v>
      </c>
      <c r="K81" s="5">
        <v>0</v>
      </c>
      <c r="L81" s="5">
        <v>458800</v>
      </c>
      <c r="M81" s="5">
        <v>0</v>
      </c>
      <c r="N81" s="2" t="s">
        <v>215</v>
      </c>
      <c r="O81" s="5">
        <v>0</v>
      </c>
      <c r="P81" s="5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11">
        <v>3.37</v>
      </c>
    </row>
    <row r="82" spans="1:22" x14ac:dyDescent="0.25">
      <c r="A82" s="2" t="str">
        <f>"4101"</f>
        <v>4101</v>
      </c>
      <c r="B82" s="2" t="str">
        <f>"18"</f>
        <v>18</v>
      </c>
      <c r="C82" s="2" t="s">
        <v>414</v>
      </c>
      <c r="D82" s="2" t="str">
        <f t="shared" si="5"/>
        <v>1</v>
      </c>
      <c r="E82" t="s">
        <v>239</v>
      </c>
      <c r="F82" t="s">
        <v>238</v>
      </c>
      <c r="G82" t="s">
        <v>240</v>
      </c>
      <c r="H82" t="s">
        <v>24</v>
      </c>
      <c r="I82" t="str">
        <f>"07981"</f>
        <v>07981</v>
      </c>
      <c r="J82" s="5">
        <v>200300</v>
      </c>
      <c r="K82" s="5">
        <v>0</v>
      </c>
      <c r="L82" s="5">
        <v>200300</v>
      </c>
      <c r="M82" s="5">
        <v>0</v>
      </c>
      <c r="N82" s="2" t="s">
        <v>215</v>
      </c>
      <c r="O82" s="5">
        <v>0</v>
      </c>
      <c r="P82" s="5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11">
        <v>0.51</v>
      </c>
    </row>
    <row r="83" spans="1:22" x14ac:dyDescent="0.25">
      <c r="A83" s="2" t="str">
        <f>"4101"</f>
        <v>4101</v>
      </c>
      <c r="B83" s="2" t="str">
        <f>"23"</f>
        <v>23</v>
      </c>
      <c r="C83" s="2" t="s">
        <v>414</v>
      </c>
      <c r="D83" s="2" t="str">
        <f t="shared" si="5"/>
        <v>1</v>
      </c>
      <c r="E83" t="s">
        <v>241</v>
      </c>
      <c r="F83" t="s">
        <v>237</v>
      </c>
      <c r="G83" t="s">
        <v>228</v>
      </c>
      <c r="H83" t="s">
        <v>24</v>
      </c>
      <c r="I83" t="str">
        <f>"07981"</f>
        <v>07981</v>
      </c>
      <c r="J83" s="5">
        <v>340500</v>
      </c>
      <c r="K83" s="5">
        <v>0</v>
      </c>
      <c r="L83" s="5">
        <v>340500</v>
      </c>
      <c r="M83" s="5">
        <v>0</v>
      </c>
      <c r="N83" s="2" t="s">
        <v>215</v>
      </c>
      <c r="O83" s="5">
        <v>0</v>
      </c>
      <c r="P83" s="5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11">
        <v>4.24</v>
      </c>
    </row>
    <row r="84" spans="1:22" x14ac:dyDescent="0.25">
      <c r="A84" s="2" t="str">
        <f>"4202"</f>
        <v>4202</v>
      </c>
      <c r="B84" s="2" t="str">
        <f>"3"</f>
        <v>3</v>
      </c>
      <c r="C84" s="2" t="s">
        <v>414</v>
      </c>
      <c r="D84" s="2" t="str">
        <f t="shared" si="5"/>
        <v>1</v>
      </c>
      <c r="E84" t="s">
        <v>242</v>
      </c>
      <c r="F84" t="s">
        <v>243</v>
      </c>
      <c r="G84" t="s">
        <v>244</v>
      </c>
      <c r="H84" t="s">
        <v>245</v>
      </c>
      <c r="I84" t="str">
        <f>"07920"</f>
        <v>07920</v>
      </c>
      <c r="J84" s="5">
        <v>12800</v>
      </c>
      <c r="K84" s="5">
        <v>0</v>
      </c>
      <c r="L84" s="5">
        <v>12800</v>
      </c>
      <c r="M84" s="5">
        <v>0</v>
      </c>
      <c r="N84" s="2" t="s">
        <v>215</v>
      </c>
      <c r="O84" s="5">
        <v>0</v>
      </c>
      <c r="P84" s="5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11">
        <v>0.33</v>
      </c>
    </row>
    <row r="85" spans="1:22" x14ac:dyDescent="0.25">
      <c r="A85" s="2" t="str">
        <f>"4204"</f>
        <v>4204</v>
      </c>
      <c r="B85" s="2" t="str">
        <f>"1"</f>
        <v>1</v>
      </c>
      <c r="C85" s="2" t="s">
        <v>414</v>
      </c>
      <c r="D85" s="2" t="str">
        <f t="shared" si="5"/>
        <v>1</v>
      </c>
      <c r="E85" t="s">
        <v>246</v>
      </c>
      <c r="F85" t="s">
        <v>247</v>
      </c>
      <c r="G85" t="s">
        <v>244</v>
      </c>
      <c r="H85" t="s">
        <v>245</v>
      </c>
      <c r="I85" t="str">
        <f>"07920"</f>
        <v>07920</v>
      </c>
      <c r="J85" s="5">
        <v>4761100</v>
      </c>
      <c r="K85" s="5">
        <v>0</v>
      </c>
      <c r="L85" s="5">
        <v>4761100</v>
      </c>
      <c r="M85" s="5">
        <v>0</v>
      </c>
      <c r="N85" s="2" t="s">
        <v>215</v>
      </c>
      <c r="O85" s="5">
        <v>0</v>
      </c>
      <c r="P85" s="5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11">
        <v>11.8</v>
      </c>
    </row>
    <row r="86" spans="1:22" x14ac:dyDescent="0.25">
      <c r="A86" s="2" t="str">
        <f>"4204"</f>
        <v>4204</v>
      </c>
      <c r="B86" s="2" t="str">
        <f>"11"</f>
        <v>11</v>
      </c>
      <c r="C86" s="2" t="s">
        <v>414</v>
      </c>
      <c r="D86" s="2" t="str">
        <f t="shared" si="5"/>
        <v>1</v>
      </c>
      <c r="E86" t="s">
        <v>248</v>
      </c>
      <c r="F86" t="s">
        <v>249</v>
      </c>
      <c r="G86" t="s">
        <v>250</v>
      </c>
      <c r="H86" t="s">
        <v>24</v>
      </c>
      <c r="I86" t="str">
        <f>"07981"</f>
        <v>07981</v>
      </c>
      <c r="J86" s="5">
        <v>90600</v>
      </c>
      <c r="K86" s="5">
        <v>0</v>
      </c>
      <c r="L86" s="5">
        <v>90600</v>
      </c>
      <c r="M86" s="5">
        <v>0</v>
      </c>
      <c r="N86" s="2" t="s">
        <v>215</v>
      </c>
      <c r="O86" s="5">
        <v>0</v>
      </c>
      <c r="P86" s="5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11">
        <v>1.3</v>
      </c>
    </row>
    <row r="87" spans="1:22" x14ac:dyDescent="0.25">
      <c r="A87" s="2" t="str">
        <f>"4204"</f>
        <v>4204</v>
      </c>
      <c r="B87" s="2" t="str">
        <f>"12"</f>
        <v>12</v>
      </c>
      <c r="C87" s="2" t="s">
        <v>414</v>
      </c>
      <c r="D87" s="2" t="str">
        <f t="shared" si="5"/>
        <v>1</v>
      </c>
      <c r="E87" t="s">
        <v>251</v>
      </c>
      <c r="F87" t="s">
        <v>252</v>
      </c>
      <c r="G87" t="s">
        <v>251</v>
      </c>
      <c r="H87" t="s">
        <v>253</v>
      </c>
      <c r="I87" t="str">
        <f>"00000"</f>
        <v>00000</v>
      </c>
      <c r="J87" s="5">
        <v>500</v>
      </c>
      <c r="K87" s="5">
        <v>0</v>
      </c>
      <c r="L87" s="5">
        <v>500</v>
      </c>
      <c r="M87" s="5">
        <v>0</v>
      </c>
      <c r="N87" s="2" t="s">
        <v>215</v>
      </c>
      <c r="O87" s="5">
        <v>0</v>
      </c>
      <c r="P87" s="5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11">
        <v>0</v>
      </c>
    </row>
    <row r="88" spans="1:22" x14ac:dyDescent="0.25">
      <c r="A88" s="2" t="str">
        <f>"4301"</f>
        <v>4301</v>
      </c>
      <c r="B88" s="2" t="str">
        <f>"2"</f>
        <v>2</v>
      </c>
      <c r="C88" s="2" t="s">
        <v>414</v>
      </c>
      <c r="D88" s="2" t="str">
        <f t="shared" si="5"/>
        <v>1</v>
      </c>
      <c r="E88" t="s">
        <v>254</v>
      </c>
      <c r="F88" t="s">
        <v>255</v>
      </c>
      <c r="G88" t="s">
        <v>256</v>
      </c>
      <c r="H88" t="s">
        <v>231</v>
      </c>
      <c r="I88" t="str">
        <f>"28216"</f>
        <v>28216</v>
      </c>
      <c r="J88" s="5">
        <v>0</v>
      </c>
      <c r="K88" s="5">
        <v>0</v>
      </c>
      <c r="L88" s="5">
        <v>0</v>
      </c>
      <c r="M88" s="5">
        <v>0</v>
      </c>
      <c r="N88" s="2" t="s">
        <v>215</v>
      </c>
      <c r="O88" s="5">
        <v>0</v>
      </c>
      <c r="P88" s="5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11">
        <v>17.45</v>
      </c>
    </row>
    <row r="89" spans="1:22" x14ac:dyDescent="0.25">
      <c r="A89" s="2" t="str">
        <f>"4603"</f>
        <v>4603</v>
      </c>
      <c r="B89" s="2" t="str">
        <f>"1"</f>
        <v>1</v>
      </c>
      <c r="C89" s="2" t="s">
        <v>414</v>
      </c>
      <c r="D89" s="2" t="str">
        <f t="shared" si="5"/>
        <v>1</v>
      </c>
      <c r="E89" t="s">
        <v>258</v>
      </c>
      <c r="F89" t="s">
        <v>259</v>
      </c>
      <c r="G89" t="s">
        <v>260</v>
      </c>
      <c r="H89" t="s">
        <v>55</v>
      </c>
      <c r="I89" t="str">
        <f>"07960"</f>
        <v>07960</v>
      </c>
      <c r="J89" s="5">
        <v>183800</v>
      </c>
      <c r="K89" s="5">
        <v>0</v>
      </c>
      <c r="L89" s="5">
        <v>183800</v>
      </c>
      <c r="M89" s="5">
        <v>0</v>
      </c>
      <c r="N89" s="2" t="s">
        <v>215</v>
      </c>
      <c r="O89" s="5">
        <v>0</v>
      </c>
      <c r="P89" s="5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11">
        <v>0.32</v>
      </c>
    </row>
    <row r="90" spans="1:22" x14ac:dyDescent="0.25">
      <c r="A90" s="2" t="str">
        <f>"4701"</f>
        <v>4701</v>
      </c>
      <c r="B90" s="2" t="str">
        <f>"29"</f>
        <v>29</v>
      </c>
      <c r="C90" s="2" t="s">
        <v>40</v>
      </c>
      <c r="D90" s="2" t="str">
        <f t="shared" si="5"/>
        <v>1</v>
      </c>
      <c r="E90" t="s">
        <v>261</v>
      </c>
      <c r="F90" t="s">
        <v>262</v>
      </c>
      <c r="G90" t="s">
        <v>263</v>
      </c>
      <c r="H90" t="s">
        <v>264</v>
      </c>
      <c r="I90" t="str">
        <f>"07041"</f>
        <v>07041</v>
      </c>
      <c r="J90" s="5">
        <v>0</v>
      </c>
      <c r="K90" s="5">
        <v>0</v>
      </c>
      <c r="L90" s="5">
        <v>0</v>
      </c>
      <c r="M90" s="5">
        <v>0</v>
      </c>
      <c r="N90" s="2" t="s">
        <v>215</v>
      </c>
      <c r="O90" s="5">
        <v>0</v>
      </c>
      <c r="P90" s="5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11">
        <v>0</v>
      </c>
    </row>
    <row r="91" spans="1:22" x14ac:dyDescent="0.25">
      <c r="A91" s="2" t="str">
        <f>"4802"</f>
        <v>4802</v>
      </c>
      <c r="B91" s="2" t="str">
        <f>"2"</f>
        <v>2</v>
      </c>
      <c r="C91" s="2" t="s">
        <v>414</v>
      </c>
      <c r="D91" s="2" t="str">
        <f t="shared" si="5"/>
        <v>1</v>
      </c>
      <c r="E91" t="s">
        <v>266</v>
      </c>
      <c r="F91" t="s">
        <v>267</v>
      </c>
      <c r="G91" t="s">
        <v>268</v>
      </c>
      <c r="H91" t="s">
        <v>24</v>
      </c>
      <c r="I91" t="str">
        <f>"07981"</f>
        <v>07981</v>
      </c>
      <c r="J91" s="5">
        <v>950000</v>
      </c>
      <c r="K91" s="5">
        <v>0</v>
      </c>
      <c r="L91" s="5">
        <v>950000</v>
      </c>
      <c r="M91" s="5">
        <v>0</v>
      </c>
      <c r="N91" s="2" t="s">
        <v>215</v>
      </c>
      <c r="O91" s="5">
        <v>0</v>
      </c>
      <c r="P91" s="5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11">
        <v>3.5</v>
      </c>
    </row>
    <row r="92" spans="1:22" x14ac:dyDescent="0.25">
      <c r="A92" s="2" t="str">
        <f>"4901"</f>
        <v>4901</v>
      </c>
      <c r="B92" s="2" t="str">
        <f>"19"</f>
        <v>19</v>
      </c>
      <c r="C92" s="2" t="s">
        <v>414</v>
      </c>
      <c r="D92" s="2" t="str">
        <f t="shared" si="5"/>
        <v>1</v>
      </c>
      <c r="E92" t="s">
        <v>272</v>
      </c>
      <c r="F92" t="s">
        <v>269</v>
      </c>
      <c r="G92" t="s">
        <v>271</v>
      </c>
      <c r="H92" t="s">
        <v>270</v>
      </c>
      <c r="I92" t="str">
        <f>"08837"</f>
        <v>08837</v>
      </c>
      <c r="J92" s="5">
        <v>1088400</v>
      </c>
      <c r="K92" s="5">
        <v>0</v>
      </c>
      <c r="L92" s="5">
        <v>1088400</v>
      </c>
      <c r="M92" s="5">
        <v>0</v>
      </c>
      <c r="N92" s="2" t="s">
        <v>215</v>
      </c>
      <c r="O92" s="5">
        <v>0</v>
      </c>
      <c r="P92" s="5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11">
        <v>4.5199999999999996</v>
      </c>
    </row>
    <row r="93" spans="1:22" x14ac:dyDescent="0.25">
      <c r="A93" s="2" t="str">
        <f>"4902"</f>
        <v>4902</v>
      </c>
      <c r="B93" s="2" t="str">
        <f>"2"</f>
        <v>2</v>
      </c>
      <c r="C93" s="2" t="s">
        <v>414</v>
      </c>
      <c r="D93" s="2" t="str">
        <f t="shared" si="5"/>
        <v>1</v>
      </c>
      <c r="E93" t="s">
        <v>273</v>
      </c>
      <c r="F93" t="s">
        <v>274</v>
      </c>
      <c r="G93" t="s">
        <v>275</v>
      </c>
      <c r="H93" t="s">
        <v>276</v>
      </c>
      <c r="I93" t="str">
        <f>"07078"</f>
        <v>07078</v>
      </c>
      <c r="J93" s="5">
        <v>86300</v>
      </c>
      <c r="K93" s="5">
        <v>0</v>
      </c>
      <c r="L93" s="5">
        <v>86300</v>
      </c>
      <c r="M93" s="5">
        <v>0</v>
      </c>
      <c r="N93" s="2" t="s">
        <v>215</v>
      </c>
      <c r="O93" s="5">
        <v>0</v>
      </c>
      <c r="P93" s="5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11">
        <v>1.08</v>
      </c>
    </row>
    <row r="94" spans="1:22" x14ac:dyDescent="0.25">
      <c r="A94" s="2" t="str">
        <f>"4903"</f>
        <v>4903</v>
      </c>
      <c r="B94" s="2" t="str">
        <f>"1"</f>
        <v>1</v>
      </c>
      <c r="C94" s="2" t="s">
        <v>414</v>
      </c>
      <c r="D94" s="2" t="str">
        <f t="shared" si="5"/>
        <v>1</v>
      </c>
      <c r="E94" t="s">
        <v>277</v>
      </c>
      <c r="F94" t="s">
        <v>26</v>
      </c>
      <c r="G94" t="s">
        <v>27</v>
      </c>
      <c r="H94" t="s">
        <v>23</v>
      </c>
      <c r="I94" t="str">
        <f>"07927"</f>
        <v>07927</v>
      </c>
      <c r="J94" s="5">
        <v>146600</v>
      </c>
      <c r="K94" s="5">
        <v>0</v>
      </c>
      <c r="L94" s="5">
        <v>146600</v>
      </c>
      <c r="M94" s="5">
        <v>0</v>
      </c>
      <c r="N94" s="2" t="s">
        <v>215</v>
      </c>
      <c r="O94" s="5">
        <v>0</v>
      </c>
      <c r="P94" s="5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11">
        <v>0.45</v>
      </c>
    </row>
    <row r="95" spans="1:22" x14ac:dyDescent="0.25">
      <c r="A95" s="2" t="str">
        <f>"5301"</f>
        <v>5301</v>
      </c>
      <c r="B95" s="2" t="str">
        <f>"9.01"</f>
        <v>9.01</v>
      </c>
      <c r="C95" s="2" t="s">
        <v>414</v>
      </c>
      <c r="D95" s="2" t="str">
        <f t="shared" si="5"/>
        <v>1</v>
      </c>
      <c r="E95" t="s">
        <v>280</v>
      </c>
      <c r="F95" t="s">
        <v>279</v>
      </c>
      <c r="G95" t="s">
        <v>278</v>
      </c>
      <c r="H95" t="s">
        <v>24</v>
      </c>
      <c r="I95" t="str">
        <f>"07981"</f>
        <v>07981</v>
      </c>
      <c r="J95" s="5">
        <v>2600</v>
      </c>
      <c r="K95" s="5">
        <v>0</v>
      </c>
      <c r="L95" s="5">
        <v>2600</v>
      </c>
      <c r="M95" s="5">
        <v>0</v>
      </c>
      <c r="N95" s="2" t="s">
        <v>215</v>
      </c>
      <c r="O95" s="5">
        <v>0</v>
      </c>
      <c r="P95" s="5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11">
        <v>0.05</v>
      </c>
    </row>
    <row r="96" spans="1:22" x14ac:dyDescent="0.25">
      <c r="A96" s="2" t="str">
        <f>"5801"</f>
        <v>5801</v>
      </c>
      <c r="B96" s="2" t="str">
        <f>"1.06"</f>
        <v>1.06</v>
      </c>
      <c r="C96" s="2" t="s">
        <v>414</v>
      </c>
      <c r="D96" s="2" t="str">
        <f t="shared" si="5"/>
        <v>1</v>
      </c>
      <c r="E96" t="s">
        <v>284</v>
      </c>
      <c r="F96" t="s">
        <v>285</v>
      </c>
      <c r="G96" t="s">
        <v>282</v>
      </c>
      <c r="H96" t="s">
        <v>283</v>
      </c>
      <c r="I96" t="str">
        <f>"46280"</f>
        <v>46280</v>
      </c>
      <c r="J96" s="5">
        <v>16581500</v>
      </c>
      <c r="K96" s="5">
        <v>0</v>
      </c>
      <c r="L96" s="5">
        <v>16581500</v>
      </c>
      <c r="M96" s="5">
        <v>0</v>
      </c>
      <c r="N96" s="2" t="s">
        <v>215</v>
      </c>
      <c r="O96" s="5">
        <v>0</v>
      </c>
      <c r="P96" s="5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11">
        <v>85.75</v>
      </c>
    </row>
    <row r="97" spans="1:22" x14ac:dyDescent="0.25">
      <c r="A97" s="2" t="str">
        <f>"5801"</f>
        <v>5801</v>
      </c>
      <c r="B97" s="2" t="str">
        <f>"2"</f>
        <v>2</v>
      </c>
      <c r="C97" s="2" t="s">
        <v>414</v>
      </c>
      <c r="D97" s="2" t="str">
        <f t="shared" si="5"/>
        <v>1</v>
      </c>
      <c r="E97" t="s">
        <v>286</v>
      </c>
      <c r="F97" t="s">
        <v>287</v>
      </c>
      <c r="G97" t="s">
        <v>281</v>
      </c>
      <c r="H97" t="s">
        <v>24</v>
      </c>
      <c r="I97" t="str">
        <f>"07981"</f>
        <v>07981</v>
      </c>
      <c r="J97" s="5">
        <v>377600</v>
      </c>
      <c r="K97" s="5">
        <v>0</v>
      </c>
      <c r="L97" s="5">
        <v>377600</v>
      </c>
      <c r="M97" s="5">
        <v>0</v>
      </c>
      <c r="N97" s="2" t="s">
        <v>215</v>
      </c>
      <c r="O97" s="5">
        <v>401728</v>
      </c>
      <c r="P97" s="5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11">
        <v>0.62</v>
      </c>
    </row>
    <row r="98" spans="1:22" x14ac:dyDescent="0.25">
      <c r="A98" s="2" t="str">
        <f>"5801"</f>
        <v>5801</v>
      </c>
      <c r="B98" s="2" t="str">
        <f>"5"</f>
        <v>5</v>
      </c>
      <c r="C98" s="2" t="s">
        <v>414</v>
      </c>
      <c r="D98" s="2" t="str">
        <f t="shared" si="5"/>
        <v>1</v>
      </c>
      <c r="E98" t="s">
        <v>288</v>
      </c>
      <c r="F98" t="s">
        <v>287</v>
      </c>
      <c r="G98" t="s">
        <v>281</v>
      </c>
      <c r="H98" t="s">
        <v>24</v>
      </c>
      <c r="I98" t="str">
        <f>"07981"</f>
        <v>07981</v>
      </c>
      <c r="J98" s="5">
        <v>354100</v>
      </c>
      <c r="K98" s="5">
        <v>0</v>
      </c>
      <c r="L98" s="5">
        <v>354100</v>
      </c>
      <c r="M98" s="5">
        <v>0</v>
      </c>
      <c r="N98" s="2" t="s">
        <v>215</v>
      </c>
      <c r="O98" s="5">
        <v>401095</v>
      </c>
      <c r="P98" s="5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11">
        <v>0.56000000000000005</v>
      </c>
    </row>
    <row r="99" spans="1:22" x14ac:dyDescent="0.25">
      <c r="A99" s="2" t="str">
        <f>"5901"</f>
        <v>5901</v>
      </c>
      <c r="B99" s="2" t="str">
        <f>"1"</f>
        <v>1</v>
      </c>
      <c r="C99" s="2" t="s">
        <v>414</v>
      </c>
      <c r="D99" s="2" t="str">
        <f t="shared" ref="D99:D130" si="6">"1"</f>
        <v>1</v>
      </c>
      <c r="E99" t="s">
        <v>289</v>
      </c>
      <c r="F99" t="s">
        <v>290</v>
      </c>
      <c r="G99" t="s">
        <v>291</v>
      </c>
      <c r="H99" t="s">
        <v>292</v>
      </c>
      <c r="I99" t="str">
        <f>"10027"</f>
        <v>10027</v>
      </c>
      <c r="J99" s="5">
        <v>55000</v>
      </c>
      <c r="K99" s="5">
        <v>0</v>
      </c>
      <c r="L99" s="5">
        <v>55000</v>
      </c>
      <c r="M99" s="5">
        <v>0</v>
      </c>
      <c r="N99" s="2" t="s">
        <v>215</v>
      </c>
      <c r="O99" s="5">
        <v>0</v>
      </c>
      <c r="P99" s="5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11">
        <v>0.36</v>
      </c>
    </row>
    <row r="100" spans="1:22" x14ac:dyDescent="0.25">
      <c r="A100" s="2" t="str">
        <f>"5901"</f>
        <v>5901</v>
      </c>
      <c r="B100" s="2" t="str">
        <f>"8"</f>
        <v>8</v>
      </c>
      <c r="C100" s="2" t="s">
        <v>414</v>
      </c>
      <c r="D100" s="2" t="str">
        <f t="shared" si="6"/>
        <v>1</v>
      </c>
      <c r="E100" t="s">
        <v>230</v>
      </c>
      <c r="F100" t="s">
        <v>294</v>
      </c>
      <c r="G100" t="s">
        <v>295</v>
      </c>
      <c r="H100" t="s">
        <v>24</v>
      </c>
      <c r="I100" t="str">
        <f>"07981"</f>
        <v>07981</v>
      </c>
      <c r="J100" s="5">
        <v>108000</v>
      </c>
      <c r="K100" s="5">
        <v>0</v>
      </c>
      <c r="L100" s="5">
        <v>108000</v>
      </c>
      <c r="M100" s="5">
        <v>0</v>
      </c>
      <c r="N100" s="2" t="s">
        <v>215</v>
      </c>
      <c r="O100" s="5">
        <v>0</v>
      </c>
      <c r="P100" s="5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11">
        <v>0.56999999999999995</v>
      </c>
    </row>
    <row r="101" spans="1:22" x14ac:dyDescent="0.25">
      <c r="A101" s="2" t="str">
        <f>"5901"</f>
        <v>5901</v>
      </c>
      <c r="B101" s="2" t="str">
        <f>"13"</f>
        <v>13</v>
      </c>
      <c r="C101" s="2" t="s">
        <v>414</v>
      </c>
      <c r="D101" s="2" t="str">
        <f t="shared" si="6"/>
        <v>1</v>
      </c>
      <c r="E101" t="s">
        <v>296</v>
      </c>
      <c r="F101" t="s">
        <v>47</v>
      </c>
      <c r="G101" t="s">
        <v>130</v>
      </c>
      <c r="H101" t="s">
        <v>24</v>
      </c>
      <c r="I101" t="str">
        <f>"07981"</f>
        <v>07981</v>
      </c>
      <c r="J101" s="5">
        <v>111100</v>
      </c>
      <c r="K101" s="5">
        <v>0</v>
      </c>
      <c r="L101" s="5">
        <v>111100</v>
      </c>
      <c r="M101" s="5">
        <v>0</v>
      </c>
      <c r="N101" s="2" t="s">
        <v>215</v>
      </c>
      <c r="O101" s="5">
        <v>0</v>
      </c>
      <c r="P101" s="5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11">
        <v>0.28999999999999998</v>
      </c>
    </row>
    <row r="102" spans="1:22" x14ac:dyDescent="0.25">
      <c r="A102" s="2" t="str">
        <f>"5901"</f>
        <v>5901</v>
      </c>
      <c r="B102" s="2" t="str">
        <f>"22"</f>
        <v>22</v>
      </c>
      <c r="C102" s="2" t="s">
        <v>414</v>
      </c>
      <c r="D102" s="2" t="str">
        <f t="shared" si="6"/>
        <v>1</v>
      </c>
      <c r="E102" t="s">
        <v>230</v>
      </c>
      <c r="F102" t="s">
        <v>249</v>
      </c>
      <c r="G102" t="s">
        <v>250</v>
      </c>
      <c r="H102" t="s">
        <v>24</v>
      </c>
      <c r="I102" t="str">
        <f>"07981"</f>
        <v>07981</v>
      </c>
      <c r="J102" s="5">
        <v>28000</v>
      </c>
      <c r="K102" s="5">
        <v>0</v>
      </c>
      <c r="L102" s="5">
        <v>28000</v>
      </c>
      <c r="M102" s="5">
        <v>0</v>
      </c>
      <c r="N102" s="2" t="s">
        <v>215</v>
      </c>
      <c r="O102" s="5">
        <v>0</v>
      </c>
      <c r="P102" s="5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11">
        <v>0.86</v>
      </c>
    </row>
    <row r="103" spans="1:22" x14ac:dyDescent="0.25">
      <c r="A103" s="2" t="str">
        <f>"6301"</f>
        <v>6301</v>
      </c>
      <c r="B103" s="2" t="str">
        <f>"1"</f>
        <v>1</v>
      </c>
      <c r="C103" s="2" t="s">
        <v>414</v>
      </c>
      <c r="D103" s="2" t="str">
        <f t="shared" si="6"/>
        <v>1</v>
      </c>
      <c r="E103" t="s">
        <v>298</v>
      </c>
      <c r="F103" t="s">
        <v>299</v>
      </c>
      <c r="G103" t="s">
        <v>300</v>
      </c>
      <c r="H103" t="s">
        <v>55</v>
      </c>
      <c r="I103" t="str">
        <f>"07962"</f>
        <v>07962</v>
      </c>
      <c r="J103" s="5">
        <v>281200</v>
      </c>
      <c r="K103" s="5">
        <v>0</v>
      </c>
      <c r="L103" s="5">
        <v>281200</v>
      </c>
      <c r="M103" s="5">
        <v>0</v>
      </c>
      <c r="N103" s="2" t="s">
        <v>215</v>
      </c>
      <c r="O103" s="5">
        <v>0</v>
      </c>
      <c r="P103" s="5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11">
        <v>31.24</v>
      </c>
    </row>
    <row r="104" spans="1:22" x14ac:dyDescent="0.25">
      <c r="A104" s="2" t="str">
        <f>"6301"</f>
        <v>6301</v>
      </c>
      <c r="B104" s="2" t="str">
        <f>"4"</f>
        <v>4</v>
      </c>
      <c r="C104" s="2" t="s">
        <v>414</v>
      </c>
      <c r="D104" s="2" t="str">
        <f t="shared" si="6"/>
        <v>1</v>
      </c>
      <c r="E104" t="s">
        <v>298</v>
      </c>
      <c r="F104" t="s">
        <v>299</v>
      </c>
      <c r="G104" t="s">
        <v>300</v>
      </c>
      <c r="H104" t="s">
        <v>55</v>
      </c>
      <c r="I104" t="str">
        <f>"07962"</f>
        <v>07962</v>
      </c>
      <c r="J104" s="5">
        <v>90000</v>
      </c>
      <c r="K104" s="5">
        <v>0</v>
      </c>
      <c r="L104" s="5">
        <v>90000</v>
      </c>
      <c r="M104" s="5">
        <v>0</v>
      </c>
      <c r="N104" s="2" t="s">
        <v>215</v>
      </c>
      <c r="O104" s="5">
        <v>0</v>
      </c>
      <c r="P104" s="5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11">
        <v>9</v>
      </c>
    </row>
    <row r="105" spans="1:22" x14ac:dyDescent="0.25">
      <c r="A105" s="2" t="str">
        <f>"6301"</f>
        <v>6301</v>
      </c>
      <c r="B105" s="2" t="str">
        <f>"5"</f>
        <v>5</v>
      </c>
      <c r="C105" s="2" t="s">
        <v>414</v>
      </c>
      <c r="D105" s="2" t="str">
        <f t="shared" si="6"/>
        <v>1</v>
      </c>
      <c r="E105" t="s">
        <v>298</v>
      </c>
      <c r="F105" t="s">
        <v>299</v>
      </c>
      <c r="G105" t="s">
        <v>300</v>
      </c>
      <c r="H105" t="s">
        <v>55</v>
      </c>
      <c r="I105" t="str">
        <f>"07962"</f>
        <v>07962</v>
      </c>
      <c r="J105" s="5">
        <v>99900</v>
      </c>
      <c r="K105" s="5">
        <v>0</v>
      </c>
      <c r="L105" s="5">
        <v>99900</v>
      </c>
      <c r="M105" s="5">
        <v>0</v>
      </c>
      <c r="N105" s="2" t="s">
        <v>215</v>
      </c>
      <c r="O105" s="5">
        <v>0</v>
      </c>
      <c r="P105" s="5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11">
        <v>9.99</v>
      </c>
    </row>
    <row r="106" spans="1:22" x14ac:dyDescent="0.25">
      <c r="A106" s="2" t="str">
        <f>"6301"</f>
        <v>6301</v>
      </c>
      <c r="B106" s="2" t="str">
        <f>"14"</f>
        <v>14</v>
      </c>
      <c r="C106" s="2" t="s">
        <v>414</v>
      </c>
      <c r="D106" s="2" t="str">
        <f t="shared" si="6"/>
        <v>1</v>
      </c>
      <c r="E106" t="s">
        <v>301</v>
      </c>
      <c r="F106" t="s">
        <v>302</v>
      </c>
      <c r="G106" t="s">
        <v>303</v>
      </c>
      <c r="H106" t="s">
        <v>304</v>
      </c>
      <c r="I106" t="str">
        <f>"18103"</f>
        <v>18103</v>
      </c>
      <c r="J106" s="5">
        <v>178200</v>
      </c>
      <c r="K106" s="5">
        <v>0</v>
      </c>
      <c r="L106" s="5">
        <v>178200</v>
      </c>
      <c r="M106" s="5">
        <v>0</v>
      </c>
      <c r="N106" s="2" t="s">
        <v>215</v>
      </c>
      <c r="O106" s="5">
        <v>0</v>
      </c>
      <c r="P106" s="5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11">
        <v>19.8</v>
      </c>
    </row>
    <row r="107" spans="1:22" x14ac:dyDescent="0.25">
      <c r="A107" s="2" t="str">
        <f>"6301"</f>
        <v>6301</v>
      </c>
      <c r="B107" s="2" t="str">
        <f>"15"</f>
        <v>15</v>
      </c>
      <c r="C107" s="2" t="s">
        <v>414</v>
      </c>
      <c r="D107" s="2" t="str">
        <f t="shared" si="6"/>
        <v>1</v>
      </c>
      <c r="E107" t="s">
        <v>301</v>
      </c>
      <c r="F107" t="s">
        <v>305</v>
      </c>
      <c r="G107" t="s">
        <v>306</v>
      </c>
      <c r="H107" t="s">
        <v>307</v>
      </c>
      <c r="I107" t="str">
        <f>"08844"</f>
        <v>08844</v>
      </c>
      <c r="J107" s="5">
        <v>178000</v>
      </c>
      <c r="K107" s="5">
        <v>0</v>
      </c>
      <c r="L107" s="5">
        <v>178000</v>
      </c>
      <c r="M107" s="5">
        <v>0</v>
      </c>
      <c r="N107" s="2" t="s">
        <v>215</v>
      </c>
      <c r="O107" s="5">
        <v>0</v>
      </c>
      <c r="P107" s="5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11">
        <v>17.8</v>
      </c>
    </row>
    <row r="108" spans="1:22" x14ac:dyDescent="0.25">
      <c r="A108" s="2" t="str">
        <f>"6401"</f>
        <v>6401</v>
      </c>
      <c r="B108" s="2" t="str">
        <f>"1"</f>
        <v>1</v>
      </c>
      <c r="C108" s="2" t="s">
        <v>414</v>
      </c>
      <c r="D108" s="2" t="str">
        <f t="shared" si="6"/>
        <v>1</v>
      </c>
      <c r="E108" t="s">
        <v>308</v>
      </c>
      <c r="F108" t="s">
        <v>309</v>
      </c>
      <c r="G108" t="s">
        <v>310</v>
      </c>
      <c r="H108" t="s">
        <v>88</v>
      </c>
      <c r="I108" t="str">
        <f>"07940"</f>
        <v>07940</v>
      </c>
      <c r="J108" s="5">
        <v>34000</v>
      </c>
      <c r="K108" s="5">
        <v>0</v>
      </c>
      <c r="L108" s="5">
        <v>34000</v>
      </c>
      <c r="M108" s="5">
        <v>0</v>
      </c>
      <c r="N108" s="2" t="s">
        <v>215</v>
      </c>
      <c r="O108" s="5">
        <v>0</v>
      </c>
      <c r="P108" s="5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11">
        <v>3.4</v>
      </c>
    </row>
    <row r="109" spans="1:22" x14ac:dyDescent="0.25">
      <c r="A109" s="2" t="str">
        <f>"6401"</f>
        <v>6401</v>
      </c>
      <c r="B109" s="2" t="str">
        <f>"2"</f>
        <v>2</v>
      </c>
      <c r="C109" s="2" t="s">
        <v>414</v>
      </c>
      <c r="D109" s="2" t="str">
        <f t="shared" si="6"/>
        <v>1</v>
      </c>
      <c r="E109" t="s">
        <v>311</v>
      </c>
      <c r="F109" t="s">
        <v>299</v>
      </c>
      <c r="G109" t="s">
        <v>300</v>
      </c>
      <c r="H109" t="s">
        <v>55</v>
      </c>
      <c r="I109" t="str">
        <f>"07962"</f>
        <v>07962</v>
      </c>
      <c r="J109" s="5">
        <v>1614200</v>
      </c>
      <c r="K109" s="5">
        <v>0</v>
      </c>
      <c r="L109" s="5">
        <v>1614200</v>
      </c>
      <c r="M109" s="5">
        <v>0</v>
      </c>
      <c r="N109" s="2" t="s">
        <v>215</v>
      </c>
      <c r="O109" s="5">
        <v>0</v>
      </c>
      <c r="P109" s="5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11">
        <v>23.57</v>
      </c>
    </row>
    <row r="110" spans="1:22" x14ac:dyDescent="0.25">
      <c r="A110" s="2" t="str">
        <f>"6401"</f>
        <v>6401</v>
      </c>
      <c r="B110" s="2" t="str">
        <f>"3"</f>
        <v>3</v>
      </c>
      <c r="C110" s="2" t="s">
        <v>414</v>
      </c>
      <c r="D110" s="2" t="str">
        <f t="shared" si="6"/>
        <v>1</v>
      </c>
      <c r="E110" t="s">
        <v>311</v>
      </c>
      <c r="F110" t="s">
        <v>299</v>
      </c>
      <c r="G110" t="s">
        <v>300</v>
      </c>
      <c r="H110" t="s">
        <v>55</v>
      </c>
      <c r="I110" t="str">
        <f>"07962"</f>
        <v>07962</v>
      </c>
      <c r="J110" s="5">
        <v>470900</v>
      </c>
      <c r="K110" s="5">
        <v>0</v>
      </c>
      <c r="L110" s="5">
        <v>470900</v>
      </c>
      <c r="M110" s="5">
        <v>0</v>
      </c>
      <c r="N110" s="2" t="s">
        <v>215</v>
      </c>
      <c r="O110" s="5">
        <v>0</v>
      </c>
      <c r="P110" s="5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11">
        <v>46.8</v>
      </c>
    </row>
    <row r="111" spans="1:22" x14ac:dyDescent="0.25">
      <c r="A111" s="2" t="str">
        <f>"6501"</f>
        <v>6501</v>
      </c>
      <c r="B111" s="2" t="str">
        <f>"1"</f>
        <v>1</v>
      </c>
      <c r="C111" s="2" t="s">
        <v>414</v>
      </c>
      <c r="D111" s="2" t="str">
        <f t="shared" si="6"/>
        <v>1</v>
      </c>
      <c r="E111" t="s">
        <v>311</v>
      </c>
      <c r="F111" t="s">
        <v>299</v>
      </c>
      <c r="G111" t="s">
        <v>300</v>
      </c>
      <c r="H111" t="s">
        <v>55</v>
      </c>
      <c r="I111" t="str">
        <f>"07962"</f>
        <v>07962</v>
      </c>
      <c r="J111" s="5">
        <v>1855000</v>
      </c>
      <c r="K111" s="5">
        <v>0</v>
      </c>
      <c r="L111" s="5">
        <v>1855000</v>
      </c>
      <c r="M111" s="5">
        <v>0</v>
      </c>
      <c r="N111" s="2" t="s">
        <v>215</v>
      </c>
      <c r="O111" s="5">
        <v>0</v>
      </c>
      <c r="P111" s="5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11">
        <v>53</v>
      </c>
    </row>
    <row r="112" spans="1:22" x14ac:dyDescent="0.25">
      <c r="A112" s="2" t="str">
        <f>"6501"</f>
        <v>6501</v>
      </c>
      <c r="B112" s="2" t="str">
        <f>"1.01"</f>
        <v>1.01</v>
      </c>
      <c r="C112" s="2" t="s">
        <v>414</v>
      </c>
      <c r="D112" s="2" t="str">
        <f t="shared" si="6"/>
        <v>1</v>
      </c>
      <c r="E112" t="s">
        <v>308</v>
      </c>
      <c r="F112" t="s">
        <v>299</v>
      </c>
      <c r="G112" t="s">
        <v>300</v>
      </c>
      <c r="H112" t="s">
        <v>55</v>
      </c>
      <c r="I112" t="str">
        <f>"07962"</f>
        <v>07962</v>
      </c>
      <c r="J112" s="5">
        <v>23800</v>
      </c>
      <c r="K112" s="5">
        <v>0</v>
      </c>
      <c r="L112" s="5">
        <v>23800</v>
      </c>
      <c r="M112" s="5">
        <v>0</v>
      </c>
      <c r="N112" s="2" t="s">
        <v>215</v>
      </c>
      <c r="O112" s="5">
        <v>0</v>
      </c>
      <c r="P112" s="5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11">
        <v>2.64</v>
      </c>
    </row>
    <row r="113" spans="1:22" x14ac:dyDescent="0.25">
      <c r="A113" s="2" t="str">
        <f>"6501"</f>
        <v>6501</v>
      </c>
      <c r="B113" s="2" t="str">
        <f>"3"</f>
        <v>3</v>
      </c>
      <c r="C113" s="2" t="s">
        <v>414</v>
      </c>
      <c r="D113" s="2" t="str">
        <f t="shared" si="6"/>
        <v>1</v>
      </c>
      <c r="E113" t="s">
        <v>308</v>
      </c>
      <c r="F113" t="s">
        <v>299</v>
      </c>
      <c r="G113" t="s">
        <v>300</v>
      </c>
      <c r="H113" t="s">
        <v>55</v>
      </c>
      <c r="I113" t="str">
        <f>"07962"</f>
        <v>07962</v>
      </c>
      <c r="J113" s="5">
        <v>1100</v>
      </c>
      <c r="K113" s="5">
        <v>0</v>
      </c>
      <c r="L113" s="5">
        <v>1100</v>
      </c>
      <c r="M113" s="5">
        <v>0</v>
      </c>
      <c r="N113" s="2" t="s">
        <v>215</v>
      </c>
      <c r="O113" s="5">
        <v>0</v>
      </c>
      <c r="P113" s="5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11">
        <v>4.5</v>
      </c>
    </row>
    <row r="114" spans="1:22" x14ac:dyDescent="0.25">
      <c r="A114" s="2" t="str">
        <f>"6601"</f>
        <v>6601</v>
      </c>
      <c r="B114" s="2" t="str">
        <f>"5"</f>
        <v>5</v>
      </c>
      <c r="C114" s="2" t="s">
        <v>414</v>
      </c>
      <c r="D114" s="2" t="str">
        <f t="shared" si="6"/>
        <v>1</v>
      </c>
      <c r="E114" t="s">
        <v>313</v>
      </c>
      <c r="F114" t="s">
        <v>314</v>
      </c>
      <c r="G114" t="s">
        <v>315</v>
      </c>
      <c r="H114" t="s">
        <v>17</v>
      </c>
      <c r="I114" t="str">
        <f>"07936"</f>
        <v>07936</v>
      </c>
      <c r="J114" s="5">
        <v>194400</v>
      </c>
      <c r="K114" s="5">
        <v>0</v>
      </c>
      <c r="L114" s="5">
        <v>194400</v>
      </c>
      <c r="M114" s="5">
        <v>0</v>
      </c>
      <c r="N114" s="2" t="s">
        <v>215</v>
      </c>
      <c r="O114" s="5">
        <v>0</v>
      </c>
      <c r="P114" s="5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11">
        <v>0.6</v>
      </c>
    </row>
    <row r="115" spans="1:22" x14ac:dyDescent="0.25">
      <c r="A115" s="2" t="str">
        <f>"6601"</f>
        <v>6601</v>
      </c>
      <c r="B115" s="2" t="str">
        <f>"13.02"</f>
        <v>13.02</v>
      </c>
      <c r="C115" s="2" t="s">
        <v>414</v>
      </c>
      <c r="D115" s="2" t="str">
        <f t="shared" si="6"/>
        <v>1</v>
      </c>
      <c r="E115" t="s">
        <v>316</v>
      </c>
      <c r="F115" t="s">
        <v>314</v>
      </c>
      <c r="G115" t="s">
        <v>315</v>
      </c>
      <c r="H115" t="s">
        <v>17</v>
      </c>
      <c r="I115" t="str">
        <f>"07936"</f>
        <v>07936</v>
      </c>
      <c r="J115" s="5">
        <v>728000</v>
      </c>
      <c r="K115" s="5">
        <v>0</v>
      </c>
      <c r="L115" s="5">
        <v>728000</v>
      </c>
      <c r="M115" s="5">
        <v>0</v>
      </c>
      <c r="N115" s="2" t="s">
        <v>215</v>
      </c>
      <c r="O115" s="5">
        <v>0</v>
      </c>
      <c r="P115" s="5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11">
        <v>3.34</v>
      </c>
    </row>
    <row r="116" spans="1:22" x14ac:dyDescent="0.25">
      <c r="A116" s="2" t="str">
        <f>"6801"</f>
        <v>6801</v>
      </c>
      <c r="B116" s="2" t="str">
        <f>"5"</f>
        <v>5</v>
      </c>
      <c r="C116" s="2" t="s">
        <v>414</v>
      </c>
      <c r="D116" s="2" t="str">
        <f t="shared" si="6"/>
        <v>1</v>
      </c>
      <c r="E116" t="s">
        <v>317</v>
      </c>
      <c r="F116" t="s">
        <v>318</v>
      </c>
      <c r="G116" t="s">
        <v>319</v>
      </c>
      <c r="H116" t="s">
        <v>320</v>
      </c>
      <c r="I116" t="str">
        <f>"07094"</f>
        <v>07094</v>
      </c>
      <c r="J116" s="5">
        <v>445000</v>
      </c>
      <c r="K116" s="5">
        <v>0</v>
      </c>
      <c r="L116" s="5">
        <v>445000</v>
      </c>
      <c r="M116" s="5">
        <v>0</v>
      </c>
      <c r="N116" s="2" t="s">
        <v>215</v>
      </c>
      <c r="O116" s="5">
        <v>0</v>
      </c>
      <c r="P116" s="5">
        <v>0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11">
        <v>1.48</v>
      </c>
    </row>
    <row r="117" spans="1:22" x14ac:dyDescent="0.25">
      <c r="A117" s="2" t="str">
        <f>"7006"</f>
        <v>7006</v>
      </c>
      <c r="B117" s="2" t="str">
        <f>"12"</f>
        <v>12</v>
      </c>
      <c r="C117" s="2" t="s">
        <v>414</v>
      </c>
      <c r="D117" s="2" t="str">
        <f t="shared" si="6"/>
        <v>1</v>
      </c>
      <c r="E117" t="s">
        <v>321</v>
      </c>
      <c r="F117" t="s">
        <v>322</v>
      </c>
      <c r="G117" t="s">
        <v>321</v>
      </c>
      <c r="H117" t="s">
        <v>24</v>
      </c>
      <c r="I117" t="str">
        <f>"07981"</f>
        <v>07981</v>
      </c>
      <c r="J117" s="5">
        <v>185500</v>
      </c>
      <c r="K117" s="5">
        <v>0</v>
      </c>
      <c r="L117" s="5">
        <v>185500</v>
      </c>
      <c r="M117" s="5">
        <v>0</v>
      </c>
      <c r="N117" s="2" t="s">
        <v>215</v>
      </c>
      <c r="O117" s="5">
        <v>0</v>
      </c>
      <c r="P117" s="5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11">
        <v>0.48</v>
      </c>
    </row>
    <row r="118" spans="1:22" x14ac:dyDescent="0.25">
      <c r="A118" s="2" t="str">
        <f>"7301"</f>
        <v>7301</v>
      </c>
      <c r="B118" s="2" t="str">
        <f>"13"</f>
        <v>13</v>
      </c>
      <c r="C118" s="2" t="s">
        <v>414</v>
      </c>
      <c r="D118" s="2" t="str">
        <f t="shared" si="6"/>
        <v>1</v>
      </c>
      <c r="E118" t="s">
        <v>323</v>
      </c>
      <c r="F118" t="s">
        <v>324</v>
      </c>
      <c r="G118" t="s">
        <v>325</v>
      </c>
      <c r="H118" t="s">
        <v>60</v>
      </c>
      <c r="I118" t="str">
        <f>"07834"</f>
        <v>07834</v>
      </c>
      <c r="J118" s="5">
        <v>1235000</v>
      </c>
      <c r="K118" s="5">
        <v>0</v>
      </c>
      <c r="L118" s="5">
        <v>1235000</v>
      </c>
      <c r="M118" s="5">
        <v>0</v>
      </c>
      <c r="N118" s="2" t="s">
        <v>215</v>
      </c>
      <c r="O118" s="5">
        <v>0</v>
      </c>
      <c r="P118" s="5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11">
        <v>4.9000000000000004</v>
      </c>
    </row>
    <row r="119" spans="1:22" x14ac:dyDescent="0.25">
      <c r="A119" s="2" t="str">
        <f>"7501"</f>
        <v>7501</v>
      </c>
      <c r="B119" s="2" t="str">
        <f>"7"</f>
        <v>7</v>
      </c>
      <c r="C119" s="2" t="s">
        <v>414</v>
      </c>
      <c r="D119" s="2" t="str">
        <f t="shared" si="6"/>
        <v>1</v>
      </c>
      <c r="E119" t="s">
        <v>326</v>
      </c>
      <c r="F119" t="s">
        <v>327</v>
      </c>
      <c r="G119" t="s">
        <v>265</v>
      </c>
      <c r="H119" t="s">
        <v>24</v>
      </c>
      <c r="I119" t="str">
        <f>"07981"</f>
        <v>07981</v>
      </c>
      <c r="J119" s="5">
        <v>100000</v>
      </c>
      <c r="K119" s="5">
        <v>0</v>
      </c>
      <c r="L119" s="5">
        <v>100000</v>
      </c>
      <c r="M119" s="5">
        <v>0</v>
      </c>
      <c r="N119" s="2" t="s">
        <v>215</v>
      </c>
      <c r="O119" s="5">
        <v>0</v>
      </c>
      <c r="P119" s="5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11">
        <v>0.21</v>
      </c>
    </row>
    <row r="120" spans="1:22" x14ac:dyDescent="0.25">
      <c r="A120" s="2" t="str">
        <f>"7501"</f>
        <v>7501</v>
      </c>
      <c r="B120" s="2" t="str">
        <f>"10"</f>
        <v>10</v>
      </c>
      <c r="C120" s="2" t="s">
        <v>33</v>
      </c>
      <c r="D120" s="2" t="str">
        <f t="shared" si="6"/>
        <v>1</v>
      </c>
      <c r="E120" t="s">
        <v>328</v>
      </c>
      <c r="F120" t="s">
        <v>329</v>
      </c>
      <c r="G120" t="s">
        <v>330</v>
      </c>
      <c r="H120" t="s">
        <v>297</v>
      </c>
      <c r="I120" t="str">
        <f>"07071"</f>
        <v>07071</v>
      </c>
      <c r="J120" s="5">
        <v>1399500</v>
      </c>
      <c r="K120" s="5">
        <v>0</v>
      </c>
      <c r="L120" s="5">
        <v>1399500</v>
      </c>
      <c r="M120" s="5">
        <v>0</v>
      </c>
      <c r="N120" s="2" t="s">
        <v>215</v>
      </c>
      <c r="O120" s="5">
        <v>0</v>
      </c>
      <c r="P120" s="5">
        <v>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11">
        <v>2.2599999999999998</v>
      </c>
    </row>
    <row r="121" spans="1:22" x14ac:dyDescent="0.25">
      <c r="A121" s="2" t="str">
        <f>"7501"</f>
        <v>7501</v>
      </c>
      <c r="B121" s="2" t="str">
        <f>"10"</f>
        <v>10</v>
      </c>
      <c r="C121" s="2" t="s">
        <v>81</v>
      </c>
      <c r="D121" s="2" t="str">
        <f t="shared" si="6"/>
        <v>1</v>
      </c>
      <c r="E121" t="s">
        <v>328</v>
      </c>
      <c r="F121" t="s">
        <v>329</v>
      </c>
      <c r="G121" t="s">
        <v>330</v>
      </c>
      <c r="H121" t="s">
        <v>297</v>
      </c>
      <c r="I121" t="str">
        <f>"07071"</f>
        <v>07071</v>
      </c>
      <c r="J121" s="5">
        <v>476800</v>
      </c>
      <c r="K121" s="5">
        <v>0</v>
      </c>
      <c r="L121" s="5">
        <v>476800</v>
      </c>
      <c r="M121" s="5">
        <v>0</v>
      </c>
      <c r="N121" s="2" t="s">
        <v>215</v>
      </c>
      <c r="O121" s="5">
        <v>0</v>
      </c>
      <c r="P121" s="5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11">
        <v>1.61</v>
      </c>
    </row>
    <row r="122" spans="1:22" x14ac:dyDescent="0.25">
      <c r="A122" s="2" t="str">
        <f>"7501"</f>
        <v>7501</v>
      </c>
      <c r="B122" s="2" t="str">
        <f>"10"</f>
        <v>10</v>
      </c>
      <c r="C122" s="2" t="s">
        <v>40</v>
      </c>
      <c r="D122" s="2" t="str">
        <f t="shared" si="6"/>
        <v>1</v>
      </c>
      <c r="E122" t="s">
        <v>328</v>
      </c>
      <c r="F122" t="s">
        <v>329</v>
      </c>
      <c r="G122" t="s">
        <v>330</v>
      </c>
      <c r="H122" t="s">
        <v>297</v>
      </c>
      <c r="I122" t="str">
        <f>"07071"</f>
        <v>07071</v>
      </c>
      <c r="J122" s="5">
        <v>0</v>
      </c>
      <c r="K122" s="5">
        <v>0</v>
      </c>
      <c r="L122" s="5">
        <v>0</v>
      </c>
      <c r="M122" s="5">
        <v>0</v>
      </c>
      <c r="N122" s="2" t="s">
        <v>215</v>
      </c>
      <c r="O122" s="5">
        <v>0</v>
      </c>
      <c r="P122" s="5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11">
        <v>0</v>
      </c>
    </row>
    <row r="123" spans="1:22" x14ac:dyDescent="0.25">
      <c r="A123" s="2" t="str">
        <f>"7501"</f>
        <v>7501</v>
      </c>
      <c r="B123" s="2" t="str">
        <f>"22.01"</f>
        <v>22.01</v>
      </c>
      <c r="C123" s="2" t="s">
        <v>414</v>
      </c>
      <c r="D123" s="2" t="str">
        <f t="shared" si="6"/>
        <v>1</v>
      </c>
      <c r="E123" t="s">
        <v>230</v>
      </c>
      <c r="F123" t="s">
        <v>106</v>
      </c>
      <c r="G123" t="s">
        <v>107</v>
      </c>
      <c r="H123" t="s">
        <v>55</v>
      </c>
      <c r="I123" t="str">
        <f>"07960"</f>
        <v>07960</v>
      </c>
      <c r="J123" s="5">
        <v>5000</v>
      </c>
      <c r="K123" s="5">
        <v>0</v>
      </c>
      <c r="L123" s="5">
        <v>5000</v>
      </c>
      <c r="M123" s="5">
        <v>0</v>
      </c>
      <c r="N123" s="2" t="s">
        <v>215</v>
      </c>
      <c r="O123" s="5">
        <v>0</v>
      </c>
      <c r="P123" s="5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11">
        <v>0.71</v>
      </c>
    </row>
    <row r="124" spans="1:22" x14ac:dyDescent="0.25">
      <c r="A124" s="2" t="str">
        <f>"7502"</f>
        <v>7502</v>
      </c>
      <c r="B124" s="2" t="str">
        <f>"21"</f>
        <v>21</v>
      </c>
      <c r="C124" s="2" t="s">
        <v>414</v>
      </c>
      <c r="D124" s="2" t="str">
        <f t="shared" si="6"/>
        <v>1</v>
      </c>
      <c r="E124" t="s">
        <v>331</v>
      </c>
      <c r="F124" t="s">
        <v>332</v>
      </c>
      <c r="G124" t="s">
        <v>333</v>
      </c>
      <c r="H124" t="s">
        <v>55</v>
      </c>
      <c r="I124" t="str">
        <f>"07960"</f>
        <v>07960</v>
      </c>
      <c r="J124" s="5">
        <v>84200</v>
      </c>
      <c r="K124" s="5">
        <v>0</v>
      </c>
      <c r="L124" s="5">
        <v>84200</v>
      </c>
      <c r="M124" s="5">
        <v>0</v>
      </c>
      <c r="N124" s="2" t="s">
        <v>215</v>
      </c>
      <c r="O124" s="5">
        <v>0</v>
      </c>
      <c r="P124" s="5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11">
        <v>0.73</v>
      </c>
    </row>
    <row r="125" spans="1:22" x14ac:dyDescent="0.25">
      <c r="A125" s="2" t="str">
        <f>"7502"</f>
        <v>7502</v>
      </c>
      <c r="B125" s="2" t="str">
        <f>"23"</f>
        <v>23</v>
      </c>
      <c r="C125" s="2" t="s">
        <v>414</v>
      </c>
      <c r="D125" s="2" t="str">
        <f t="shared" si="6"/>
        <v>1</v>
      </c>
      <c r="E125" t="s">
        <v>334</v>
      </c>
      <c r="F125" t="s">
        <v>106</v>
      </c>
      <c r="G125" t="s">
        <v>107</v>
      </c>
      <c r="H125" t="s">
        <v>55</v>
      </c>
      <c r="I125" t="str">
        <f>"07960"</f>
        <v>07960</v>
      </c>
      <c r="J125" s="5">
        <v>96400</v>
      </c>
      <c r="K125" s="5">
        <v>0</v>
      </c>
      <c r="L125" s="5">
        <v>96400</v>
      </c>
      <c r="M125" s="5">
        <v>0</v>
      </c>
      <c r="N125" s="2" t="s">
        <v>215</v>
      </c>
      <c r="O125" s="5">
        <v>0</v>
      </c>
      <c r="P125" s="5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11">
        <v>1</v>
      </c>
    </row>
    <row r="126" spans="1:22" x14ac:dyDescent="0.25">
      <c r="A126" s="2" t="str">
        <f>"7601"</f>
        <v>7601</v>
      </c>
      <c r="B126" s="2" t="str">
        <f>"43.02"</f>
        <v>43.02</v>
      </c>
      <c r="C126" s="2" t="s">
        <v>414</v>
      </c>
      <c r="D126" s="2" t="str">
        <f t="shared" si="6"/>
        <v>1</v>
      </c>
      <c r="E126" t="s">
        <v>335</v>
      </c>
      <c r="F126" t="s">
        <v>336</v>
      </c>
      <c r="G126" t="s">
        <v>337</v>
      </c>
      <c r="H126" t="s">
        <v>24</v>
      </c>
      <c r="I126" t="str">
        <f>"07981"</f>
        <v>07981</v>
      </c>
      <c r="J126" s="5">
        <v>275300</v>
      </c>
      <c r="K126" s="5">
        <v>0</v>
      </c>
      <c r="L126" s="5">
        <v>275300</v>
      </c>
      <c r="M126" s="5">
        <v>0</v>
      </c>
      <c r="N126" s="2" t="s">
        <v>215</v>
      </c>
      <c r="O126" s="5">
        <v>0</v>
      </c>
      <c r="P126" s="5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11">
        <v>2.44</v>
      </c>
    </row>
    <row r="127" spans="1:22" x14ac:dyDescent="0.25">
      <c r="A127" s="2" t="str">
        <f>"7702"</f>
        <v>7702</v>
      </c>
      <c r="B127" s="2" t="str">
        <f>"6"</f>
        <v>6</v>
      </c>
      <c r="C127" s="2" t="s">
        <v>414</v>
      </c>
      <c r="D127" s="2" t="str">
        <f t="shared" si="6"/>
        <v>1</v>
      </c>
      <c r="E127" t="s">
        <v>338</v>
      </c>
      <c r="F127" t="s">
        <v>26</v>
      </c>
      <c r="G127" t="s">
        <v>27</v>
      </c>
      <c r="H127" t="s">
        <v>23</v>
      </c>
      <c r="I127" t="str">
        <f>"07927"</f>
        <v>07927</v>
      </c>
      <c r="J127" s="5">
        <v>260000</v>
      </c>
      <c r="K127" s="5">
        <v>0</v>
      </c>
      <c r="L127" s="5">
        <v>260000</v>
      </c>
      <c r="M127" s="5">
        <v>0</v>
      </c>
      <c r="N127" s="2" t="s">
        <v>215</v>
      </c>
      <c r="O127" s="5">
        <v>0</v>
      </c>
      <c r="P127" s="5">
        <v>0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  <c r="V127" s="11">
        <v>1.5</v>
      </c>
    </row>
    <row r="128" spans="1:22" x14ac:dyDescent="0.25">
      <c r="A128" s="2" t="str">
        <f>"7702"</f>
        <v>7702</v>
      </c>
      <c r="B128" s="2" t="str">
        <f>"10.02"</f>
        <v>10.02</v>
      </c>
      <c r="C128" s="2" t="s">
        <v>414</v>
      </c>
      <c r="D128" s="2" t="str">
        <f t="shared" si="6"/>
        <v>1</v>
      </c>
      <c r="E128" t="s">
        <v>340</v>
      </c>
      <c r="F128" t="s">
        <v>341</v>
      </c>
      <c r="G128" t="s">
        <v>339</v>
      </c>
      <c r="H128" t="s">
        <v>24</v>
      </c>
      <c r="I128" t="str">
        <f>"07981"</f>
        <v>07981</v>
      </c>
      <c r="J128" s="5">
        <v>229500</v>
      </c>
      <c r="K128" s="5">
        <v>0</v>
      </c>
      <c r="L128" s="5">
        <v>229500</v>
      </c>
      <c r="M128" s="5">
        <v>0</v>
      </c>
      <c r="N128" s="2" t="s">
        <v>215</v>
      </c>
      <c r="O128" s="5">
        <v>0</v>
      </c>
      <c r="P128" s="5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11">
        <v>0.49</v>
      </c>
    </row>
    <row r="129" spans="1:22" x14ac:dyDescent="0.25">
      <c r="A129" s="2" t="str">
        <f>"7702"</f>
        <v>7702</v>
      </c>
      <c r="B129" s="2" t="str">
        <f>"31"</f>
        <v>31</v>
      </c>
      <c r="C129" s="2" t="s">
        <v>414</v>
      </c>
      <c r="D129" s="2" t="str">
        <f t="shared" si="6"/>
        <v>1</v>
      </c>
      <c r="E129" t="s">
        <v>342</v>
      </c>
      <c r="F129" t="s">
        <v>343</v>
      </c>
      <c r="G129" t="s">
        <v>344</v>
      </c>
      <c r="H129" t="s">
        <v>345</v>
      </c>
      <c r="I129" t="str">
        <f>"07090"</f>
        <v>07090</v>
      </c>
      <c r="J129" s="5">
        <v>214900</v>
      </c>
      <c r="K129" s="5">
        <v>0</v>
      </c>
      <c r="L129" s="5">
        <v>214900</v>
      </c>
      <c r="M129" s="5">
        <v>0</v>
      </c>
      <c r="N129" s="2" t="s">
        <v>215</v>
      </c>
      <c r="O129" s="5">
        <v>0</v>
      </c>
      <c r="P129" s="5">
        <v>0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11">
        <v>0.33</v>
      </c>
    </row>
    <row r="130" spans="1:22" x14ac:dyDescent="0.25">
      <c r="A130" s="2" t="str">
        <f>"8202"</f>
        <v>8202</v>
      </c>
      <c r="B130" s="2" t="str">
        <f>"6.01"</f>
        <v>6.01</v>
      </c>
      <c r="C130" s="2" t="s">
        <v>414</v>
      </c>
      <c r="D130" s="2" t="str">
        <f t="shared" si="6"/>
        <v>1</v>
      </c>
      <c r="E130" t="s">
        <v>350</v>
      </c>
      <c r="F130" t="s">
        <v>351</v>
      </c>
      <c r="G130" t="s">
        <v>349</v>
      </c>
      <c r="H130" t="s">
        <v>48</v>
      </c>
      <c r="I130" t="str">
        <f>"07981"</f>
        <v>07981</v>
      </c>
      <c r="J130" s="5">
        <v>191000</v>
      </c>
      <c r="K130" s="5">
        <v>0</v>
      </c>
      <c r="L130" s="5">
        <v>191000</v>
      </c>
      <c r="M130" s="5">
        <v>0</v>
      </c>
      <c r="N130" s="2" t="s">
        <v>215</v>
      </c>
      <c r="O130" s="5">
        <v>0</v>
      </c>
      <c r="P130" s="5">
        <v>0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11">
        <v>0.34</v>
      </c>
    </row>
    <row r="131" spans="1:22" x14ac:dyDescent="0.25">
      <c r="A131" s="2" t="str">
        <f>"8203"</f>
        <v>8203</v>
      </c>
      <c r="B131" s="2" t="str">
        <f>"1"</f>
        <v>1</v>
      </c>
      <c r="C131" s="2" t="s">
        <v>414</v>
      </c>
      <c r="D131" s="2" t="str">
        <f t="shared" ref="D131:D155" si="7">"1"</f>
        <v>1</v>
      </c>
      <c r="E131" t="s">
        <v>352</v>
      </c>
      <c r="F131" t="s">
        <v>353</v>
      </c>
      <c r="G131" t="s">
        <v>354</v>
      </c>
      <c r="H131" t="s">
        <v>135</v>
      </c>
      <c r="I131" t="str">
        <f>"30328"</f>
        <v>30328</v>
      </c>
      <c r="J131" s="5">
        <v>190500</v>
      </c>
      <c r="K131" s="5">
        <v>0</v>
      </c>
      <c r="L131" s="5">
        <v>190500</v>
      </c>
      <c r="M131" s="5">
        <v>0</v>
      </c>
      <c r="N131" s="2" t="s">
        <v>215</v>
      </c>
      <c r="O131" s="5">
        <v>0</v>
      </c>
      <c r="P131" s="5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11">
        <v>0.57999999999999996</v>
      </c>
    </row>
    <row r="132" spans="1:22" x14ac:dyDescent="0.25">
      <c r="A132" s="2" t="str">
        <f>"8204"</f>
        <v>8204</v>
      </c>
      <c r="B132" s="2" t="str">
        <f>"10"</f>
        <v>10</v>
      </c>
      <c r="C132" s="2" t="s">
        <v>414</v>
      </c>
      <c r="D132" s="2" t="str">
        <f t="shared" si="7"/>
        <v>1</v>
      </c>
      <c r="E132" t="s">
        <v>355</v>
      </c>
      <c r="F132" t="s">
        <v>356</v>
      </c>
      <c r="G132" t="s">
        <v>355</v>
      </c>
      <c r="H132" t="s">
        <v>24</v>
      </c>
      <c r="I132" t="str">
        <f>"07981"</f>
        <v>07981</v>
      </c>
      <c r="J132" s="5">
        <v>242400</v>
      </c>
      <c r="K132" s="5">
        <v>0</v>
      </c>
      <c r="L132" s="5">
        <v>242400</v>
      </c>
      <c r="M132" s="5">
        <v>0</v>
      </c>
      <c r="N132" s="2" t="s">
        <v>215</v>
      </c>
      <c r="O132" s="5">
        <v>0</v>
      </c>
      <c r="P132" s="5">
        <v>0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11">
        <v>0.69</v>
      </c>
    </row>
    <row r="133" spans="1:22" x14ac:dyDescent="0.25">
      <c r="A133" s="2" t="str">
        <f>"8305"</f>
        <v>8305</v>
      </c>
      <c r="B133" s="2" t="str">
        <f>"8"</f>
        <v>8</v>
      </c>
      <c r="C133" s="2" t="s">
        <v>414</v>
      </c>
      <c r="D133" s="2" t="str">
        <f t="shared" si="7"/>
        <v>1</v>
      </c>
      <c r="E133" t="s">
        <v>346</v>
      </c>
      <c r="F133" t="s">
        <v>348</v>
      </c>
      <c r="G133" t="s">
        <v>347</v>
      </c>
      <c r="H133" t="s">
        <v>24</v>
      </c>
      <c r="I133" t="str">
        <f>"07981"</f>
        <v>07981</v>
      </c>
      <c r="J133" s="5">
        <v>276000</v>
      </c>
      <c r="K133" s="5">
        <v>0</v>
      </c>
      <c r="L133" s="5">
        <v>276000</v>
      </c>
      <c r="M133" s="5">
        <v>0</v>
      </c>
      <c r="N133" s="2" t="s">
        <v>215</v>
      </c>
      <c r="O133" s="5">
        <v>0</v>
      </c>
      <c r="P133" s="5">
        <v>0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11">
        <v>4</v>
      </c>
    </row>
    <row r="134" spans="1:22" x14ac:dyDescent="0.25">
      <c r="A134" s="2" t="str">
        <f>"8401"</f>
        <v>8401</v>
      </c>
      <c r="B134" s="2" t="str">
        <f>"10"</f>
        <v>10</v>
      </c>
      <c r="C134" s="2" t="s">
        <v>414</v>
      </c>
      <c r="D134" s="2" t="str">
        <f t="shared" si="7"/>
        <v>1</v>
      </c>
      <c r="E134" t="s">
        <v>357</v>
      </c>
      <c r="F134" t="s">
        <v>358</v>
      </c>
      <c r="G134" t="s">
        <v>174</v>
      </c>
      <c r="H134" t="s">
        <v>175</v>
      </c>
      <c r="I134" t="str">
        <f>"77252"</f>
        <v>77252</v>
      </c>
      <c r="J134" s="5">
        <v>80000</v>
      </c>
      <c r="K134" s="5">
        <v>0</v>
      </c>
      <c r="L134" s="5">
        <v>80000</v>
      </c>
      <c r="M134" s="5">
        <v>0</v>
      </c>
      <c r="N134" s="2" t="s">
        <v>215</v>
      </c>
      <c r="O134" s="5">
        <v>0</v>
      </c>
      <c r="P134" s="5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11">
        <v>1</v>
      </c>
    </row>
    <row r="135" spans="1:22" x14ac:dyDescent="0.25">
      <c r="A135" s="2" t="str">
        <f>"8501"</f>
        <v>8501</v>
      </c>
      <c r="B135" s="2" t="str">
        <f>"14.01"</f>
        <v>14.01</v>
      </c>
      <c r="C135" s="2" t="s">
        <v>414</v>
      </c>
      <c r="D135" s="2" t="str">
        <f t="shared" si="7"/>
        <v>1</v>
      </c>
      <c r="E135" t="s">
        <v>359</v>
      </c>
      <c r="F135" t="s">
        <v>360</v>
      </c>
      <c r="G135" t="s">
        <v>89</v>
      </c>
      <c r="H135" t="s">
        <v>23</v>
      </c>
      <c r="I135" t="str">
        <f>"07927"</f>
        <v>07927</v>
      </c>
      <c r="J135" s="5">
        <v>192200</v>
      </c>
      <c r="K135" s="5">
        <v>0</v>
      </c>
      <c r="L135" s="5">
        <v>192200</v>
      </c>
      <c r="M135" s="5">
        <v>0</v>
      </c>
      <c r="N135" s="2" t="s">
        <v>215</v>
      </c>
      <c r="O135" s="5">
        <v>0</v>
      </c>
      <c r="P135" s="5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11">
        <v>0.34</v>
      </c>
    </row>
    <row r="136" spans="1:22" x14ac:dyDescent="0.25">
      <c r="A136" s="2" t="str">
        <f>"8502"</f>
        <v>8502</v>
      </c>
      <c r="B136" s="2" t="str">
        <f>"19"</f>
        <v>19</v>
      </c>
      <c r="C136" s="2" t="s">
        <v>414</v>
      </c>
      <c r="D136" s="2" t="str">
        <f t="shared" si="7"/>
        <v>1</v>
      </c>
      <c r="E136" t="s">
        <v>361</v>
      </c>
      <c r="F136" t="s">
        <v>362</v>
      </c>
      <c r="G136" t="s">
        <v>363</v>
      </c>
      <c r="H136" t="s">
        <v>87</v>
      </c>
      <c r="I136" t="str">
        <f>"07052"</f>
        <v>07052</v>
      </c>
      <c r="J136" s="5">
        <v>198000</v>
      </c>
      <c r="K136" s="5">
        <v>0</v>
      </c>
      <c r="L136" s="5">
        <v>198000</v>
      </c>
      <c r="M136" s="5">
        <v>0</v>
      </c>
      <c r="N136" s="2" t="s">
        <v>215</v>
      </c>
      <c r="O136" s="5">
        <v>0</v>
      </c>
      <c r="P136" s="5">
        <v>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11">
        <v>0.46</v>
      </c>
    </row>
    <row r="137" spans="1:22" x14ac:dyDescent="0.25">
      <c r="A137" s="2" t="str">
        <f>"8601"</f>
        <v>8601</v>
      </c>
      <c r="B137" s="2" t="str">
        <f>"7.01"</f>
        <v>7.01</v>
      </c>
      <c r="C137" s="2" t="s">
        <v>414</v>
      </c>
      <c r="D137" s="2" t="str">
        <f t="shared" si="7"/>
        <v>1</v>
      </c>
      <c r="E137" t="s">
        <v>364</v>
      </c>
      <c r="F137" t="s">
        <v>365</v>
      </c>
      <c r="G137" t="s">
        <v>16</v>
      </c>
      <c r="H137" t="s">
        <v>167</v>
      </c>
      <c r="I137" t="str">
        <f>"07936"</f>
        <v>07936</v>
      </c>
      <c r="J137" s="5">
        <v>165700</v>
      </c>
      <c r="K137" s="5">
        <v>0</v>
      </c>
      <c r="L137" s="5">
        <v>165700</v>
      </c>
      <c r="M137" s="5">
        <v>0</v>
      </c>
      <c r="N137" s="2" t="s">
        <v>215</v>
      </c>
      <c r="O137" s="5">
        <v>0</v>
      </c>
      <c r="P137" s="5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11">
        <v>0.49</v>
      </c>
    </row>
    <row r="138" spans="1:22" x14ac:dyDescent="0.25">
      <c r="A138" s="2" t="str">
        <f>"8601"</f>
        <v>8601</v>
      </c>
      <c r="B138" s="2" t="str">
        <f>"7.02"</f>
        <v>7.02</v>
      </c>
      <c r="C138" s="2" t="s">
        <v>414</v>
      </c>
      <c r="D138" s="2" t="str">
        <f t="shared" si="7"/>
        <v>1</v>
      </c>
      <c r="E138" t="s">
        <v>366</v>
      </c>
      <c r="F138" t="s">
        <v>367</v>
      </c>
      <c r="G138" t="s">
        <v>368</v>
      </c>
      <c r="H138" t="s">
        <v>24</v>
      </c>
      <c r="I138" t="str">
        <f>"07981"</f>
        <v>07981</v>
      </c>
      <c r="J138" s="5">
        <v>208300</v>
      </c>
      <c r="K138" s="5">
        <v>0</v>
      </c>
      <c r="L138" s="5">
        <v>208300</v>
      </c>
      <c r="M138" s="5">
        <v>0</v>
      </c>
      <c r="N138" s="2" t="s">
        <v>215</v>
      </c>
      <c r="O138" s="5">
        <v>0</v>
      </c>
      <c r="P138" s="5">
        <v>0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11">
        <v>0.67</v>
      </c>
    </row>
    <row r="139" spans="1:22" x14ac:dyDescent="0.25">
      <c r="A139" s="2" t="str">
        <f>"8702"</f>
        <v>8702</v>
      </c>
      <c r="B139" s="2" t="str">
        <f>"38.02"</f>
        <v>38.02</v>
      </c>
      <c r="C139" s="2" t="s">
        <v>414</v>
      </c>
      <c r="D139" s="2" t="str">
        <f t="shared" si="7"/>
        <v>1</v>
      </c>
      <c r="E139" t="s">
        <v>369</v>
      </c>
      <c r="F139" t="s">
        <v>370</v>
      </c>
      <c r="G139" t="s">
        <v>371</v>
      </c>
      <c r="H139" t="s">
        <v>293</v>
      </c>
      <c r="I139" t="str">
        <f>"07015"</f>
        <v>07015</v>
      </c>
      <c r="J139" s="5">
        <v>192600</v>
      </c>
      <c r="K139" s="5">
        <v>0</v>
      </c>
      <c r="L139" s="5">
        <v>192600</v>
      </c>
      <c r="M139" s="5">
        <v>0</v>
      </c>
      <c r="N139" s="2" t="s">
        <v>215</v>
      </c>
      <c r="O139" s="5">
        <v>0</v>
      </c>
      <c r="P139" s="5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11">
        <v>0.35</v>
      </c>
    </row>
    <row r="140" spans="1:22" x14ac:dyDescent="0.25">
      <c r="A140" s="2" t="str">
        <f>"8803"</f>
        <v>8803</v>
      </c>
      <c r="B140" s="2" t="str">
        <f>"6.01"</f>
        <v>6.01</v>
      </c>
      <c r="C140" s="2" t="s">
        <v>414</v>
      </c>
      <c r="D140" s="2" t="str">
        <f t="shared" si="7"/>
        <v>1</v>
      </c>
      <c r="E140" t="s">
        <v>373</v>
      </c>
      <c r="F140" t="s">
        <v>374</v>
      </c>
      <c r="G140" t="s">
        <v>37</v>
      </c>
      <c r="H140" t="s">
        <v>24</v>
      </c>
      <c r="I140" t="str">
        <f>"07981"</f>
        <v>07981</v>
      </c>
      <c r="J140" s="5">
        <v>357900</v>
      </c>
      <c r="K140" s="5">
        <v>0</v>
      </c>
      <c r="L140" s="5">
        <v>357900</v>
      </c>
      <c r="M140" s="5">
        <v>0</v>
      </c>
      <c r="N140" s="2" t="s">
        <v>215</v>
      </c>
      <c r="O140" s="5">
        <v>0</v>
      </c>
      <c r="P140" s="5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11">
        <v>1.06</v>
      </c>
    </row>
    <row r="141" spans="1:22" x14ac:dyDescent="0.25">
      <c r="A141" s="2" t="str">
        <f>"8803"</f>
        <v>8803</v>
      </c>
      <c r="B141" s="2" t="str">
        <f>"17"</f>
        <v>17</v>
      </c>
      <c r="C141" s="2" t="s">
        <v>414</v>
      </c>
      <c r="D141" s="2" t="str">
        <f t="shared" si="7"/>
        <v>1</v>
      </c>
      <c r="E141" t="s">
        <v>375</v>
      </c>
      <c r="F141" t="s">
        <v>235</v>
      </c>
      <c r="G141" t="s">
        <v>236</v>
      </c>
      <c r="H141" t="s">
        <v>24</v>
      </c>
      <c r="I141" t="str">
        <f>"07981"</f>
        <v>07981</v>
      </c>
      <c r="J141" s="5">
        <v>28100</v>
      </c>
      <c r="K141" s="5">
        <v>0</v>
      </c>
      <c r="L141" s="5">
        <v>28100</v>
      </c>
      <c r="M141" s="5">
        <v>0</v>
      </c>
      <c r="N141" s="2" t="s">
        <v>215</v>
      </c>
      <c r="O141" s="5">
        <v>0</v>
      </c>
      <c r="P141" s="5">
        <v>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11">
        <v>0.56000000000000005</v>
      </c>
    </row>
    <row r="142" spans="1:22" x14ac:dyDescent="0.25">
      <c r="A142" s="2" t="str">
        <f>"8901"</f>
        <v>8901</v>
      </c>
      <c r="B142" s="2" t="str">
        <f>"5"</f>
        <v>5</v>
      </c>
      <c r="C142" s="2" t="s">
        <v>414</v>
      </c>
      <c r="D142" s="2" t="str">
        <f t="shared" si="7"/>
        <v>1</v>
      </c>
      <c r="E142" t="s">
        <v>376</v>
      </c>
      <c r="F142" t="s">
        <v>377</v>
      </c>
      <c r="G142" t="s">
        <v>378</v>
      </c>
      <c r="H142" t="s">
        <v>24</v>
      </c>
      <c r="I142" t="str">
        <f>"07981"</f>
        <v>07981</v>
      </c>
      <c r="J142" s="5">
        <v>160100</v>
      </c>
      <c r="K142" s="5">
        <v>0</v>
      </c>
      <c r="L142" s="5">
        <v>160100</v>
      </c>
      <c r="M142" s="5">
        <v>0</v>
      </c>
      <c r="N142" s="2" t="s">
        <v>215</v>
      </c>
      <c r="O142" s="5">
        <v>0</v>
      </c>
      <c r="P142" s="5">
        <v>0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11">
        <v>0.27</v>
      </c>
    </row>
    <row r="143" spans="1:22" x14ac:dyDescent="0.25">
      <c r="A143" s="2" t="str">
        <f>"8901"</f>
        <v>8901</v>
      </c>
      <c r="B143" s="2" t="str">
        <f>"17"</f>
        <v>17</v>
      </c>
      <c r="C143" s="2" t="s">
        <v>414</v>
      </c>
      <c r="D143" s="2" t="str">
        <f t="shared" si="7"/>
        <v>1</v>
      </c>
      <c r="E143" t="s">
        <v>379</v>
      </c>
      <c r="F143" t="s">
        <v>380</v>
      </c>
      <c r="G143" t="s">
        <v>381</v>
      </c>
      <c r="H143" t="s">
        <v>131</v>
      </c>
      <c r="I143" t="str">
        <f>"07004"</f>
        <v>07004</v>
      </c>
      <c r="J143" s="5">
        <v>165500</v>
      </c>
      <c r="K143" s="5">
        <v>0</v>
      </c>
      <c r="L143" s="5">
        <v>165500</v>
      </c>
      <c r="M143" s="5">
        <v>0</v>
      </c>
      <c r="N143" s="2" t="s">
        <v>215</v>
      </c>
      <c r="O143" s="5">
        <v>0</v>
      </c>
      <c r="P143" s="5">
        <v>0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11">
        <v>0.11</v>
      </c>
    </row>
    <row r="144" spans="1:22" x14ac:dyDescent="0.25">
      <c r="A144" s="2" t="str">
        <f>"9001"</f>
        <v>9001</v>
      </c>
      <c r="B144" s="2" t="str">
        <f>"1"</f>
        <v>1</v>
      </c>
      <c r="C144" s="2" t="s">
        <v>414</v>
      </c>
      <c r="D144" s="2" t="str">
        <f t="shared" si="7"/>
        <v>1</v>
      </c>
      <c r="E144" t="s">
        <v>382</v>
      </c>
      <c r="F144" t="s">
        <v>383</v>
      </c>
      <c r="G144" t="s">
        <v>384</v>
      </c>
      <c r="H144" t="s">
        <v>385</v>
      </c>
      <c r="I144" t="str">
        <f>"07856"</f>
        <v>07856</v>
      </c>
      <c r="J144" s="5">
        <v>0</v>
      </c>
      <c r="K144" s="5">
        <v>0</v>
      </c>
      <c r="L144" s="5">
        <v>0</v>
      </c>
      <c r="M144" s="5">
        <v>0</v>
      </c>
      <c r="N144" s="2" t="s">
        <v>215</v>
      </c>
      <c r="O144" s="5">
        <v>0</v>
      </c>
      <c r="P144" s="5">
        <v>0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  <c r="V144" s="11">
        <v>30.4</v>
      </c>
    </row>
    <row r="145" spans="1:22" x14ac:dyDescent="0.25">
      <c r="A145" s="2" t="str">
        <f>"9001"</f>
        <v>9001</v>
      </c>
      <c r="B145" s="2" t="str">
        <f>"1.03"</f>
        <v>1.03</v>
      </c>
      <c r="C145" s="2" t="s">
        <v>414</v>
      </c>
      <c r="D145" s="2" t="str">
        <f t="shared" si="7"/>
        <v>1</v>
      </c>
      <c r="E145" t="s">
        <v>388</v>
      </c>
      <c r="F145" t="s">
        <v>386</v>
      </c>
      <c r="G145" t="s">
        <v>387</v>
      </c>
      <c r="H145" t="s">
        <v>312</v>
      </c>
      <c r="I145" t="str">
        <f>"07644"</f>
        <v>07644</v>
      </c>
      <c r="J145" s="5">
        <v>2000</v>
      </c>
      <c r="K145" s="5">
        <v>0</v>
      </c>
      <c r="L145" s="5">
        <v>2000</v>
      </c>
      <c r="M145" s="5">
        <v>0</v>
      </c>
      <c r="N145" s="2" t="s">
        <v>215</v>
      </c>
      <c r="O145" s="5">
        <v>0</v>
      </c>
      <c r="P145" s="5">
        <v>0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11">
        <v>38.770000000000003</v>
      </c>
    </row>
    <row r="146" spans="1:22" x14ac:dyDescent="0.25">
      <c r="A146" s="2" t="str">
        <f>"9101"</f>
        <v>9101</v>
      </c>
      <c r="B146" s="2" t="str">
        <f>"17"</f>
        <v>17</v>
      </c>
      <c r="C146" s="2" t="s">
        <v>414</v>
      </c>
      <c r="D146" s="2" t="str">
        <f t="shared" si="7"/>
        <v>1</v>
      </c>
      <c r="E146" t="s">
        <v>391</v>
      </c>
      <c r="F146" t="s">
        <v>392</v>
      </c>
      <c r="G146" t="s">
        <v>384</v>
      </c>
      <c r="H146" t="s">
        <v>393</v>
      </c>
      <c r="I146" t="str">
        <f>"07865"</f>
        <v>07865</v>
      </c>
      <c r="J146" s="5">
        <v>0</v>
      </c>
      <c r="K146" s="5">
        <v>0</v>
      </c>
      <c r="L146" s="5">
        <v>0</v>
      </c>
      <c r="M146" s="5">
        <v>0</v>
      </c>
      <c r="N146" s="2" t="s">
        <v>215</v>
      </c>
      <c r="O146" s="5">
        <v>0</v>
      </c>
      <c r="P146" s="5">
        <v>0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11">
        <v>0</v>
      </c>
    </row>
    <row r="147" spans="1:22" x14ac:dyDescent="0.25">
      <c r="A147" s="2" t="str">
        <f>"9201"</f>
        <v>9201</v>
      </c>
      <c r="B147" s="2" t="str">
        <f>"3"</f>
        <v>3</v>
      </c>
      <c r="C147" s="2" t="s">
        <v>414</v>
      </c>
      <c r="D147" s="2" t="str">
        <f t="shared" si="7"/>
        <v>1</v>
      </c>
      <c r="E147" t="s">
        <v>394</v>
      </c>
      <c r="F147" t="s">
        <v>395</v>
      </c>
      <c r="G147" t="s">
        <v>181</v>
      </c>
      <c r="H147" t="s">
        <v>24</v>
      </c>
      <c r="I147" t="str">
        <f>"07981"</f>
        <v>07981</v>
      </c>
      <c r="J147" s="5">
        <v>5800</v>
      </c>
      <c r="K147" s="5">
        <v>0</v>
      </c>
      <c r="L147" s="5">
        <v>5800</v>
      </c>
      <c r="M147" s="5">
        <v>0</v>
      </c>
      <c r="N147" s="2" t="s">
        <v>215</v>
      </c>
      <c r="O147" s="5">
        <v>0</v>
      </c>
      <c r="P147" s="5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11">
        <v>0.11</v>
      </c>
    </row>
    <row r="148" spans="1:22" x14ac:dyDescent="0.25">
      <c r="A148" s="2" t="str">
        <f>"9201"</f>
        <v>9201</v>
      </c>
      <c r="B148" s="2" t="str">
        <f>"9"</f>
        <v>9</v>
      </c>
      <c r="C148" s="2" t="s">
        <v>414</v>
      </c>
      <c r="D148" s="2" t="str">
        <f t="shared" si="7"/>
        <v>1</v>
      </c>
      <c r="E148" t="s">
        <v>396</v>
      </c>
      <c r="F148" t="s">
        <v>397</v>
      </c>
      <c r="G148" t="s">
        <v>257</v>
      </c>
      <c r="H148" t="s">
        <v>24</v>
      </c>
      <c r="I148" t="str">
        <f>"07981"</f>
        <v>07981</v>
      </c>
      <c r="J148" s="5">
        <v>226300</v>
      </c>
      <c r="K148" s="5">
        <v>0</v>
      </c>
      <c r="L148" s="5">
        <v>226300</v>
      </c>
      <c r="M148" s="5">
        <v>0</v>
      </c>
      <c r="N148" s="2" t="s">
        <v>215</v>
      </c>
      <c r="O148" s="5">
        <v>0</v>
      </c>
      <c r="P148" s="5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11">
        <v>1.1599999999999999</v>
      </c>
    </row>
    <row r="149" spans="1:22" x14ac:dyDescent="0.25">
      <c r="A149" s="2" t="str">
        <f>"9202"</f>
        <v>9202</v>
      </c>
      <c r="B149" s="2" t="str">
        <f>"4"</f>
        <v>4</v>
      </c>
      <c r="C149" s="2" t="s">
        <v>414</v>
      </c>
      <c r="D149" s="2" t="str">
        <f t="shared" si="7"/>
        <v>1</v>
      </c>
      <c r="E149" t="s">
        <v>398</v>
      </c>
      <c r="F149" t="s">
        <v>389</v>
      </c>
      <c r="G149" t="s">
        <v>372</v>
      </c>
      <c r="H149" t="s">
        <v>24</v>
      </c>
      <c r="I149" t="str">
        <f>"07981"</f>
        <v>07981</v>
      </c>
      <c r="J149" s="5">
        <v>11900</v>
      </c>
      <c r="K149" s="5">
        <v>0</v>
      </c>
      <c r="L149" s="5">
        <v>11900</v>
      </c>
      <c r="M149" s="5">
        <v>0</v>
      </c>
      <c r="N149" s="2" t="s">
        <v>215</v>
      </c>
      <c r="O149" s="5">
        <v>0</v>
      </c>
      <c r="P149" s="5">
        <v>0</v>
      </c>
      <c r="Q149" s="4">
        <v>0</v>
      </c>
      <c r="R149" s="4">
        <v>0</v>
      </c>
      <c r="S149" s="4">
        <v>0</v>
      </c>
      <c r="T149" s="4">
        <v>0</v>
      </c>
      <c r="U149" s="4">
        <v>0</v>
      </c>
      <c r="V149" s="11">
        <v>0.28000000000000003</v>
      </c>
    </row>
    <row r="150" spans="1:22" x14ac:dyDescent="0.25">
      <c r="A150" s="2" t="str">
        <f>"9202"</f>
        <v>9202</v>
      </c>
      <c r="B150" s="2" t="str">
        <f>"5"</f>
        <v>5</v>
      </c>
      <c r="C150" s="2" t="s">
        <v>414</v>
      </c>
      <c r="D150" s="2" t="str">
        <f t="shared" si="7"/>
        <v>1</v>
      </c>
      <c r="E150" t="s">
        <v>399</v>
      </c>
      <c r="F150" t="s">
        <v>400</v>
      </c>
      <c r="G150" t="s">
        <v>390</v>
      </c>
      <c r="H150" t="s">
        <v>24</v>
      </c>
      <c r="I150" t="str">
        <f>"07981"</f>
        <v>07981</v>
      </c>
      <c r="J150" s="5">
        <v>116500</v>
      </c>
      <c r="K150" s="5">
        <v>0</v>
      </c>
      <c r="L150" s="5">
        <v>116500</v>
      </c>
      <c r="M150" s="5">
        <v>0</v>
      </c>
      <c r="N150" s="2" t="s">
        <v>215</v>
      </c>
      <c r="O150" s="5">
        <v>0</v>
      </c>
      <c r="P150" s="5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11">
        <v>0.76</v>
      </c>
    </row>
    <row r="151" spans="1:22" x14ac:dyDescent="0.25">
      <c r="A151" s="2" t="str">
        <f>"9202"</f>
        <v>9202</v>
      </c>
      <c r="B151" s="2" t="str">
        <f>"6"</f>
        <v>6</v>
      </c>
      <c r="C151" s="2" t="s">
        <v>414</v>
      </c>
      <c r="D151" s="2" t="str">
        <f t="shared" si="7"/>
        <v>1</v>
      </c>
      <c r="E151" t="s">
        <v>401</v>
      </c>
      <c r="F151" t="s">
        <v>144</v>
      </c>
      <c r="G151" t="s">
        <v>145</v>
      </c>
      <c r="H151" t="s">
        <v>146</v>
      </c>
      <c r="I151" t="str">
        <f>"60522"</f>
        <v>60522</v>
      </c>
      <c r="J151" s="5">
        <v>239200</v>
      </c>
      <c r="K151" s="5">
        <v>0</v>
      </c>
      <c r="L151" s="5">
        <v>239200</v>
      </c>
      <c r="M151" s="5">
        <v>0</v>
      </c>
      <c r="N151" s="2" t="s">
        <v>215</v>
      </c>
      <c r="O151" s="5">
        <v>0</v>
      </c>
      <c r="P151" s="5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11">
        <v>0.88</v>
      </c>
    </row>
    <row r="152" spans="1:22" x14ac:dyDescent="0.25">
      <c r="A152" s="2" t="str">
        <f>"9202"</f>
        <v>9202</v>
      </c>
      <c r="B152" s="2" t="str">
        <f>"15"</f>
        <v>15</v>
      </c>
      <c r="C152" s="2" t="s">
        <v>40</v>
      </c>
      <c r="D152" s="2" t="str">
        <f t="shared" si="7"/>
        <v>1</v>
      </c>
      <c r="E152" t="s">
        <v>402</v>
      </c>
      <c r="F152" t="s">
        <v>403</v>
      </c>
      <c r="G152" t="s">
        <v>404</v>
      </c>
      <c r="H152" t="s">
        <v>393</v>
      </c>
      <c r="I152" t="str">
        <f>"07856"</f>
        <v>07856</v>
      </c>
      <c r="J152" s="5">
        <v>0</v>
      </c>
      <c r="K152" s="5">
        <v>0</v>
      </c>
      <c r="L152" s="5">
        <v>0</v>
      </c>
      <c r="M152" s="5">
        <v>0</v>
      </c>
      <c r="N152" s="2" t="s">
        <v>215</v>
      </c>
      <c r="O152" s="5">
        <v>0</v>
      </c>
      <c r="P152" s="5">
        <v>0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  <c r="V152" s="11">
        <v>0</v>
      </c>
    </row>
    <row r="153" spans="1:22" x14ac:dyDescent="0.25">
      <c r="A153" s="2" t="str">
        <f>"9202"</f>
        <v>9202</v>
      </c>
      <c r="B153" s="2" t="str">
        <f>"16"</f>
        <v>16</v>
      </c>
      <c r="C153" s="2" t="s">
        <v>414</v>
      </c>
      <c r="D153" s="2" t="str">
        <f t="shared" si="7"/>
        <v>1</v>
      </c>
      <c r="E153" t="s">
        <v>405</v>
      </c>
      <c r="F153" t="s">
        <v>406</v>
      </c>
      <c r="G153" t="s">
        <v>407</v>
      </c>
      <c r="H153" t="s">
        <v>24</v>
      </c>
      <c r="I153" t="str">
        <f>"07981"</f>
        <v>07981</v>
      </c>
      <c r="J153" s="5">
        <v>5000</v>
      </c>
      <c r="K153" s="5">
        <v>0</v>
      </c>
      <c r="L153" s="5">
        <v>5000</v>
      </c>
      <c r="M153" s="5">
        <v>0</v>
      </c>
      <c r="N153" s="2" t="s">
        <v>215</v>
      </c>
      <c r="O153" s="5">
        <v>0</v>
      </c>
      <c r="P153" s="5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11">
        <v>0.06</v>
      </c>
    </row>
    <row r="154" spans="1:22" x14ac:dyDescent="0.25">
      <c r="A154" s="2" t="str">
        <f>"9304"</f>
        <v>9304</v>
      </c>
      <c r="B154" s="2" t="str">
        <f>"6"</f>
        <v>6</v>
      </c>
      <c r="C154" s="2" t="s">
        <v>414</v>
      </c>
      <c r="D154" s="2" t="str">
        <f t="shared" si="7"/>
        <v>1</v>
      </c>
      <c r="E154" t="s">
        <v>408</v>
      </c>
      <c r="F154" t="s">
        <v>234</v>
      </c>
      <c r="G154" t="s">
        <v>176</v>
      </c>
      <c r="H154" t="s">
        <v>24</v>
      </c>
      <c r="I154" t="str">
        <f>"07981"</f>
        <v>07981</v>
      </c>
      <c r="J154" s="5">
        <v>216600</v>
      </c>
      <c r="K154" s="5">
        <v>0</v>
      </c>
      <c r="L154" s="5">
        <v>216600</v>
      </c>
      <c r="M154" s="5">
        <v>0</v>
      </c>
      <c r="N154" s="2" t="s">
        <v>215</v>
      </c>
      <c r="O154" s="5">
        <v>0</v>
      </c>
      <c r="P154" s="5">
        <v>0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11">
        <v>1.2</v>
      </c>
    </row>
    <row r="155" spans="1:22" x14ac:dyDescent="0.25">
      <c r="A155" s="2" t="str">
        <f>"9304"</f>
        <v>9304</v>
      </c>
      <c r="B155" s="2" t="str">
        <f>"9"</f>
        <v>9</v>
      </c>
      <c r="C155" s="2" t="s">
        <v>414</v>
      </c>
      <c r="D155" s="2" t="str">
        <f t="shared" si="7"/>
        <v>1</v>
      </c>
      <c r="E155" t="s">
        <v>409</v>
      </c>
      <c r="F155" t="s">
        <v>178</v>
      </c>
      <c r="G155" t="s">
        <v>179</v>
      </c>
      <c r="H155" t="s">
        <v>24</v>
      </c>
      <c r="I155" t="str">
        <f>"07981"</f>
        <v>07981</v>
      </c>
      <c r="J155" s="5">
        <v>13800</v>
      </c>
      <c r="K155" s="5">
        <v>0</v>
      </c>
      <c r="L155" s="5">
        <v>13800</v>
      </c>
      <c r="M155" s="5">
        <v>0</v>
      </c>
      <c r="N155" s="2" t="s">
        <v>215</v>
      </c>
      <c r="O155" s="5">
        <v>0</v>
      </c>
      <c r="P155" s="5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11">
        <v>0.34</v>
      </c>
    </row>
    <row r="156" spans="1:22" x14ac:dyDescent="0.25">
      <c r="A156" s="2"/>
      <c r="B156" s="2"/>
      <c r="C156" s="2"/>
      <c r="D156" s="2"/>
      <c r="J156" s="5"/>
      <c r="K156" s="5"/>
      <c r="L156" s="5"/>
      <c r="M156" s="5"/>
      <c r="N156" s="2"/>
      <c r="O156" s="5"/>
      <c r="P156" s="5"/>
      <c r="Q156" s="4"/>
      <c r="R156" s="4"/>
      <c r="S156" s="4"/>
      <c r="T156" s="4"/>
      <c r="U156" s="4"/>
      <c r="V156" s="11"/>
    </row>
    <row r="157" spans="1:22" x14ac:dyDescent="0.25">
      <c r="A157" s="2"/>
      <c r="B157" s="2"/>
      <c r="C157" s="2"/>
      <c r="D157" s="2"/>
      <c r="I157" s="2"/>
      <c r="J157" s="9">
        <f>SUM(J3:J156)</f>
        <v>57729100</v>
      </c>
      <c r="K157" s="9">
        <f t="shared" ref="K157:M157" si="8">SUM(K3:K156)</f>
        <v>0</v>
      </c>
      <c r="L157" s="9">
        <f t="shared" si="8"/>
        <v>57729100</v>
      </c>
      <c r="M157" s="9">
        <f t="shared" si="8"/>
        <v>0</v>
      </c>
      <c r="N157" s="2"/>
      <c r="O157" s="9">
        <f t="shared" ref="O157" si="9">SUM(O3:O156)</f>
        <v>802823</v>
      </c>
      <c r="P157" s="9">
        <f t="shared" ref="P157" si="10">SUM(P3:P156)</f>
        <v>0</v>
      </c>
      <c r="Q157" s="9">
        <f t="shared" ref="Q157" si="11">SUM(Q3:Q156)</f>
        <v>0</v>
      </c>
      <c r="R157" s="9">
        <f t="shared" ref="R157" si="12">SUM(R3:R156)</f>
        <v>0</v>
      </c>
      <c r="S157" s="9">
        <f t="shared" ref="S157" si="13">SUM(S3:S156)</f>
        <v>0</v>
      </c>
      <c r="T157" s="9">
        <f t="shared" ref="T157" si="14">SUM(T3:T156)</f>
        <v>0</v>
      </c>
      <c r="U157" s="9">
        <f t="shared" ref="U157" si="15">SUM(U3:U156)</f>
        <v>0</v>
      </c>
      <c r="V157" s="10">
        <f t="shared" ref="V157" si="16">SUM(V3:V156)</f>
        <v>739.51000000000033</v>
      </c>
    </row>
    <row r="158" spans="1:22" x14ac:dyDescent="0.25">
      <c r="A158" s="2"/>
      <c r="B158" s="2"/>
      <c r="C158" s="2"/>
      <c r="D158" s="2"/>
      <c r="J158" s="5"/>
      <c r="K158" s="5"/>
      <c r="L158" s="5"/>
      <c r="M158" s="5"/>
      <c r="N158" s="2"/>
      <c r="O158" s="5"/>
      <c r="P158" s="5"/>
      <c r="Q158" s="4"/>
      <c r="R158" s="4"/>
      <c r="S158" s="4"/>
      <c r="T158" s="4"/>
      <c r="U158" s="4"/>
      <c r="V158" s="11"/>
    </row>
  </sheetData>
  <sortState xmlns:xlrd2="http://schemas.microsoft.com/office/spreadsheetml/2017/richdata2" ref="A3:V158">
    <sortCondition ref="D3:D158"/>
    <sortCondition ref="A3:A158"/>
    <sortCondition ref="B3:B158"/>
    <sortCondition ref="C3:C158"/>
  </sortState>
  <pageMargins left="0.7" right="0.7" top="0.75" bottom="0.75" header="0.3" footer="0.3"/>
  <ignoredErrors>
    <ignoredError sqref="B56:B15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Silvio Esposito</dc:creator>
  <cp:lastModifiedBy>Silvio Esposito</cp:lastModifiedBy>
  <dcterms:created xsi:type="dcterms:W3CDTF">2021-07-20T18:43:24Z</dcterms:created>
  <dcterms:modified xsi:type="dcterms:W3CDTF">2022-08-05T15:19:59Z</dcterms:modified>
</cp:coreProperties>
</file>