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worksheets/sheet3.xml" ContentType="application/vnd.openxmlformats-officedocument.spreadsheetml.worksheet+xml"/>
  <Override PartName="/xl/externalLinks/externalLink3.xml" ContentType="application/vnd.openxmlformats-officedocument.spreadsheetml.externalLink+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0.xml" ContentType="application/vnd.openxmlformats-officedocument.spreadsheetml.externalLink+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externalLinks/externalLink8.xml" ContentType="application/vnd.openxmlformats-officedocument.spreadsheetml.externalLink+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externalLinks/externalLink6.xml" ContentType="application/vnd.openxmlformats-officedocument.spreadsheetml.externalLink+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0" windowWidth="20376" windowHeight="7752" tabRatio="939" activeTab="1"/>
  </bookViews>
  <sheets>
    <sheet name="Assumptions" sheetId="73" r:id="rId1"/>
    <sheet name="Calculation&amp;Summary" sheetId="70" r:id="rId2"/>
    <sheet name="A. SOURCES AND USES" sheetId="76" r:id="rId3"/>
    <sheet name="Classifications" sheetId="75" r:id="rId4"/>
    <sheet name="City Prop. Value data" sheetId="68" r:id="rId5"/>
    <sheet name="Middlesex Mult." sheetId="87" state="hidden" r:id="rId6"/>
    <sheet name="Mercer Mult." sheetId="86" state="hidden" r:id="rId7"/>
    <sheet name="Hunterdon Mult." sheetId="85" state="hidden" r:id="rId8"/>
    <sheet name="Hudson Mult." sheetId="84" state="hidden" r:id="rId9"/>
    <sheet name="Gloucester Mult." sheetId="83" state="hidden" r:id="rId10"/>
    <sheet name="Essex Mult." sheetId="82" state="hidden" r:id="rId11"/>
    <sheet name="Cape May Mult." sheetId="80" state="hidden" r:id="rId12"/>
    <sheet name="Camden Mult." sheetId="79" state="hidden" r:id="rId13"/>
    <sheet name="Burlington Mult." sheetId="97" state="hidden" r:id="rId14"/>
    <sheet name="Bergen Multi." sheetId="78" state="hidden" r:id="rId15"/>
    <sheet name="Union Mult." sheetId="101" state="hidden" r:id="rId16"/>
    <sheet name="atlantic" sheetId="11" r:id="rId17"/>
    <sheet name="bergen" sheetId="12" r:id="rId18"/>
    <sheet name="burlington" sheetId="13" r:id="rId19"/>
    <sheet name="camden" sheetId="14" r:id="rId20"/>
    <sheet name="capemay" sheetId="15" r:id="rId21"/>
    <sheet name="cumberland" sheetId="16" r:id="rId22"/>
    <sheet name="essex" sheetId="17" r:id="rId23"/>
    <sheet name="gloucester" sheetId="18" r:id="rId24"/>
    <sheet name="hudson" sheetId="19" r:id="rId25"/>
    <sheet name="hunterdon" sheetId="20" r:id="rId26"/>
    <sheet name="mercer" sheetId="21" r:id="rId27"/>
    <sheet name="middlesex" sheetId="22" r:id="rId28"/>
    <sheet name="monmouth" sheetId="23" r:id="rId29"/>
    <sheet name="morris" sheetId="24" r:id="rId30"/>
    <sheet name="ocean" sheetId="25" r:id="rId31"/>
    <sheet name="passaic" sheetId="26" r:id="rId32"/>
    <sheet name="salem" sheetId="27" r:id="rId33"/>
    <sheet name="somerset" sheetId="28" r:id="rId34"/>
    <sheet name="sussex" sheetId="29" r:id="rId35"/>
    <sheet name="union" sheetId="30" r:id="rId36"/>
    <sheet name="warren" sheetId="31" r:id="rId37"/>
    <sheet name="Atlantic Mult." sheetId="77" state="hidden" r:id="rId38"/>
    <sheet name="Cumberland Mult." sheetId="81" state="hidden" r:id="rId39"/>
    <sheet name="Monmouth Mult." sheetId="88" state="hidden" r:id="rId40"/>
    <sheet name="Morris Mult." sheetId="89" state="hidden" r:id="rId41"/>
    <sheet name="Ocean Mult." sheetId="90" state="hidden" r:id="rId42"/>
    <sheet name="Passaic Mult." sheetId="91" state="hidden" r:id="rId43"/>
    <sheet name="Salem Mult." sheetId="93" state="hidden" r:id="rId44"/>
    <sheet name="Somerset Mult." sheetId="99" state="hidden" r:id="rId45"/>
    <sheet name="Sussex Mult." sheetId="100" state="hidden" r:id="rId46"/>
    <sheet name="Warren Mult." sheetId="92" state="hidden" r:id="rId47"/>
    <sheet name="Sheet1" sheetId="102" r:id="rId48"/>
  </sheets>
  <externalReferences>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A">#REF!</definedName>
    <definedName name="\I">#REF!</definedName>
    <definedName name="\O">#REF!</definedName>
    <definedName name="\P">#REF!</definedName>
    <definedName name="\S">#REF!</definedName>
    <definedName name="__KEY1">#REF!</definedName>
    <definedName name="_1CASH_FLOW" localSheetId="2">'A. SOURCES AND USES'!$A$210:$H$236</definedName>
    <definedName name="_1CASH_FLOW">#REF!</definedName>
    <definedName name="_2DEBT_SVC" localSheetId="2">'A. SOURCES AND USES'!$A$237:$O$266</definedName>
    <definedName name="_2DEBT_SVC">#REF!</definedName>
    <definedName name="_3SUMMARY_20" localSheetId="2">'A. SOURCES AND USES'!$A$1:$H$173</definedName>
    <definedName name="_3SUMMARY_20">#REF!</definedName>
    <definedName name="_CEI1">#REF!</definedName>
    <definedName name="_CEI2">#REF!</definedName>
    <definedName name="_Fill" hidden="1">'[1]Proforma 01-12 w COLA Plus'!#REF!</definedName>
    <definedName name="_Key1" hidden="1">#REF!</definedName>
    <definedName name="_Order1" hidden="1">255</definedName>
    <definedName name="_P">#REF!</definedName>
    <definedName name="_SF2" localSheetId="2">#REF!</definedName>
    <definedName name="_SF2">#REF!</definedName>
    <definedName name="_yr20" localSheetId="2">#REF!</definedName>
    <definedName name="_yr20">#REF!</definedName>
    <definedName name="A">#REF!</definedName>
    <definedName name="Academics">#REF!</definedName>
    <definedName name="accountantc">[2]Budget!#REF!</definedName>
    <definedName name="address">'[3]Sales Summary'!$D$12</definedName>
    <definedName name="address1">#REF!</definedName>
    <definedName name="address2">#REF!</definedName>
    <definedName name="adminsize">[2]Budget!#REF!</definedName>
    <definedName name="ALL_SHEETS">#REF!,#REF!,#REF!</definedName>
    <definedName name="ALTERNATE_1">#REF!</definedName>
    <definedName name="ALTERNATE_2">#REF!</definedName>
    <definedName name="amort">#REF!</definedName>
    <definedName name="AmortTable">'[4]Amort Table'!$C$14:$BJ$19</definedName>
    <definedName name="ApplyDiscount">[4]WorkTables!$AB$4</definedName>
    <definedName name="Arts">#REF!</definedName>
    <definedName name="ASSETCLASS1">#REF!</definedName>
    <definedName name="ASSETCLASS2">#REF!</definedName>
    <definedName name="ASSETCLASS3">#REF!</definedName>
    <definedName name="ASSETTYPE">#REF!</definedName>
    <definedName name="assistant">[2]Budget!#REF!</definedName>
    <definedName name="assistantc">[2]Budget!#REF!</definedName>
    <definedName name="assume">#REF!</definedName>
    <definedName name="Athletics">#REF!</definedName>
    <definedName name="BASE_BID">#REF!</definedName>
    <definedName name="BasisPoints">[5]WorkTables!#REF!</definedName>
    <definedName name="BCAdmin">[2]Budget!#REF!</definedName>
    <definedName name="BCoffice">[2]Budget!#REF!</definedName>
    <definedName name="Beg_Bal">#REF!</definedName>
    <definedName name="BEGCON">#REF!</definedName>
    <definedName name="beginlse">#REF!</definedName>
    <definedName name="BEGMO">#REF!</definedName>
    <definedName name="BEGRENT">#REF!</definedName>
    <definedName name="BEGSQFT">#REF!</definedName>
    <definedName name="BORD1">#REF!</definedName>
    <definedName name="BORD2">#REF!</definedName>
    <definedName name="BORD3">#REF!</definedName>
    <definedName name="BORD4">#REF!</definedName>
    <definedName name="bscoressize">[2]Budget!#REF!</definedName>
    <definedName name="bsmiscsize">[2]Budget!#REF!</definedName>
    <definedName name="cap">#REF!</definedName>
    <definedName name="cap_rate">'[3]Sales Summary'!$D$83</definedName>
    <definedName name="Capital">[6]Clasifications!$B$2:$B$15</definedName>
    <definedName name="caprate">#REF!</definedName>
    <definedName name="cashflow1">#REF!</definedName>
    <definedName name="cashflow2">#REF!</definedName>
    <definedName name="cashflow3">#REF!</definedName>
    <definedName name="cashflow4">#REF!</definedName>
    <definedName name="CESC">#REF!</definedName>
    <definedName name="cfdr">#REF!</definedName>
    <definedName name="CITY">#REF!</definedName>
    <definedName name="Classification">#REF!</definedName>
    <definedName name="clubadminsize">[2]Budget!#REF!</definedName>
    <definedName name="clubcoressize">[2]Budget!#REF!</definedName>
    <definedName name="clubmiscsize">[2]Budget!#REF!</definedName>
    <definedName name="clubsize">[2]Budget!#REF!</definedName>
    <definedName name="clubsize1">[2]Budget!#REF!</definedName>
    <definedName name="clubspasize">[2]Budget!#REF!</definedName>
    <definedName name="clusrestsize">[2]Budget!#REF!</definedName>
    <definedName name="Commons">#REF!</definedName>
    <definedName name="COMMRATE">#REF!</definedName>
    <definedName name="CON">#REF!</definedName>
    <definedName name="CONEND">#REF!</definedName>
    <definedName name="conferencesize">[2]Budget!#REF!</definedName>
    <definedName name="CONFLOW">#REF!</definedName>
    <definedName name="CONFLOWSET">#REF!</definedName>
    <definedName name="confsize">[2]Budget!#REF!</definedName>
    <definedName name="conhead">#REF!</definedName>
    <definedName name="CONLSE">#REF!</definedName>
    <definedName name="CONLSEP2">#REF!</definedName>
    <definedName name="conmos">#REF!</definedName>
    <definedName name="Construction_SF">#REF!</definedName>
    <definedName name="Cost_of_Cash">[7]Assumptions!#REF!</definedName>
    <definedName name="COSTINP">#REF!</definedName>
    <definedName name="COSTPROF">#REF!</definedName>
    <definedName name="costprof1">#REF!</definedName>
    <definedName name="COSTREPT">#REF!</definedName>
    <definedName name="Costs">[6]Clasifications!$A$2:$A$4</definedName>
    <definedName name="COSTSUM">#REF!</definedName>
    <definedName name="CPIE">#REF!</definedName>
    <definedName name="CPIIND">#REF!</definedName>
    <definedName name="CPISET">#REF!</definedName>
    <definedName name="CSCRANGECAR">'[8]D1-RevExpCar'!#REF!</definedName>
    <definedName name="CSCRANGEMON">'[8]D2-RevExpMon'!#REF!</definedName>
    <definedName name="CSCRANGEPIC">'[8]D3-RevExpPic'!#REF!</definedName>
    <definedName name="Data">#REF!</definedName>
    <definedName name="DealCostCalcOption">#REF!</definedName>
    <definedName name="debt">[3]Advisory!#REF!</definedName>
    <definedName name="DEFINE">#REF!</definedName>
    <definedName name="Depreciation" localSheetId="2">'A. SOURCES AND USES'!#REF!</definedName>
    <definedName name="Depreciation">#REF!</definedName>
    <definedName name="DETAILB">#REF!</definedName>
    <definedName name="discount_rate">'[3]Sales Summary'!$D$84</definedName>
    <definedName name="DiscRate_Resid">[9]Assumptions!$H$29</definedName>
    <definedName name="Downtime_for_Lease_Turnover">[4]Rents!$C$5</definedName>
    <definedName name="DRAW" localSheetId="2">'A. SOURCES AND USES'!$A$174:$H$209</definedName>
    <definedName name="DRAW">#REF!</definedName>
    <definedName name="DvlperDealDiscount">#REF!</definedName>
    <definedName name="DvlperPrice">#REF!</definedName>
    <definedName name="dvlpr">#REF!</definedName>
    <definedName name="Dvlpr_Uninv_WACC">#REF!</definedName>
    <definedName name="Dvlpr_WACC">#REF!</definedName>
    <definedName name="DYNA1">#REF!</definedName>
    <definedName name="E">#REF!</definedName>
    <definedName name="EDA_Equity" localSheetId="2">#REF!</definedName>
    <definedName name="EDA_Equity">#REF!</definedName>
    <definedName name="End_Bal">#REF!</definedName>
    <definedName name="ENDFREE">#REF!</definedName>
    <definedName name="endlse">#REF!</definedName>
    <definedName name="equity">#REF!</definedName>
    <definedName name="Equity_Requirement">#REF!</definedName>
    <definedName name="Equity1" localSheetId="2">'A. SOURCES AND USES'!#REF!</definedName>
    <definedName name="Equity1">#REF!</definedName>
    <definedName name="Equity2" localSheetId="2">'A. SOURCES AND USES'!#REF!</definedName>
    <definedName name="Equity2">#REF!</definedName>
    <definedName name="Equity3" localSheetId="2">'A. SOURCES AND USES'!#REF!</definedName>
    <definedName name="Equity3">#REF!</definedName>
    <definedName name="exhibitionsize">[2]Budget!#REF!</definedName>
    <definedName name="ExitYr">'[10]Base Case'!$B$36</definedName>
    <definedName name="Extra_Pay">#REF!</definedName>
    <definedName name="FAC">#REF!</definedName>
    <definedName name="FACRENT">#REF!</definedName>
    <definedName name="FLOWRANGE">#REF!</definedName>
    <definedName name="foadmin">[2]Budget!#REF!</definedName>
    <definedName name="foclub">[2]Budget!#REF!</definedName>
    <definedName name="foclubrest">[2]Budget!#REF!</definedName>
    <definedName name="foclubsize1">[2]Budget!#REF!</definedName>
    <definedName name="foclubspa">[2]Budget!#REF!</definedName>
    <definedName name="foconf">[2]Budget!#REF!</definedName>
    <definedName name="foconference">[2]Budget!#REF!</definedName>
    <definedName name="foexhibition">[2]Budget!#REF!</definedName>
    <definedName name="fogallery">[2]Budget!#REF!</definedName>
    <definedName name="foincsize6">[2]Budget!#REF!</definedName>
    <definedName name="foincsize7">[2]Budget!#REF!</definedName>
    <definedName name="FOOTPRINT">#REF!</definedName>
    <definedName name="forest">[2]Budget!#REF!</definedName>
    <definedName name="foservadmin">[2]Budget!#REF!</definedName>
    <definedName name="foservoff">[2]Budget!#REF!</definedName>
    <definedName name="foservoff1">[2]Budget!#REF!</definedName>
    <definedName name="fosky">[2]Budget!#REF!</definedName>
    <definedName name="fospa">[2]Budget!#REF!</definedName>
    <definedName name="fotravel">[2]Budget!#REF!</definedName>
    <definedName name="fotravel1">[2]Budget!#REF!</definedName>
    <definedName name="Full_Print">#REF!</definedName>
    <definedName name="gallerysize">[2]Budget!#REF!</definedName>
    <definedName name="gfd" hidden="1">{#N/A,#N/A,FALSE,"Cashflow Analysis";#N/A,#N/A,FALSE,"Sensitivity Analysis";#N/A,#N/A,FALSE,"PV";#N/A,#N/A,FALSE,"Pro Forma"}</definedName>
    <definedName name="GROSSFT">#REF!</definedName>
    <definedName name="growth_rate">[3]Advisory!#REF!</definedName>
    <definedName name="HARDCOST">#REF!</definedName>
    <definedName name="Header_Row">ROW(#REF!)</definedName>
    <definedName name="HOLD">#REF!</definedName>
    <definedName name="HOLD2">#REF!</definedName>
    <definedName name="HOMEONE">#REF!</definedName>
    <definedName name="IMPORT">#REF!</definedName>
    <definedName name="INCREASES">#REF!</definedName>
    <definedName name="incsize6">[2]Budget!#REF!</definedName>
    <definedName name="incsize7">[2]Budget!#REF!</definedName>
    <definedName name="Inflation">#REF!</definedName>
    <definedName name="INPUT">#REF!</definedName>
    <definedName name="Int">#REF!</definedName>
    <definedName name="interest_rate">'[3]Sales Summary'!$D$78</definedName>
    <definedName name="Internal_Rate_of_Return">#REF!</definedName>
    <definedName name="INTRATE">#REF!</definedName>
    <definedName name="ionly">#REF!</definedName>
    <definedName name="irr">#REF!</definedName>
    <definedName name="KeyAssump" hidden="1">{#N/A,#N/A,FALSE,"Input";#N/A,#N/A,FALSE,"Assumptions";#N/A,#N/A,FALSE,"Valuation";#N/A,#N/A,FALSE,"Financial Alternatives";#N/A,#N/A,FALSE,"Cash Flow"}</definedName>
    <definedName name="l">Scheduled_Payment+Extra_Payment</definedName>
    <definedName name="Land_Cost_per_Unit">#REF!</definedName>
    <definedName name="LANDSF">#REF!</definedName>
    <definedName name="Last_Row">IF(Values_Entered,Header_Row+Number_of_Payments,Header_Row)</definedName>
    <definedName name="LASTLEASEMO">#REF!</definedName>
    <definedName name="LASTLSMO">#REF!</definedName>
    <definedName name="LCFee">'[10]Base Case'!$B$49</definedName>
    <definedName name="ldf">#REF!</definedName>
    <definedName name="Lease_Marketing_Expense" localSheetId="2">'A. SOURCES AND USES'!#REF!</definedName>
    <definedName name="Lease_Marketing_Expense">#REF!</definedName>
    <definedName name="Lease_Up_Reserve" localSheetId="2">#REF!</definedName>
    <definedName name="Lease_Up_Reserve">#REF!</definedName>
    <definedName name="loan">#REF!</definedName>
    <definedName name="Loan_Amount">#REF!</definedName>
    <definedName name="Loan_Coverage_Ratio">#REF!</definedName>
    <definedName name="Loan_Start">#REF!</definedName>
    <definedName name="loan_to_value">'[3]Sales Summary'!#REF!</definedName>
    <definedName name="Loan_Years">#REF!</definedName>
    <definedName name="Loan1" localSheetId="2">#REF!</definedName>
    <definedName name="Loan1">#REF!</definedName>
    <definedName name="Loan1_Amortization" localSheetId="2">#REF!</definedName>
    <definedName name="Loan1_Amortization">#REF!</definedName>
    <definedName name="Loan1_DS" localSheetId="2">#REF!</definedName>
    <definedName name="Loan1_DS">#REF!</definedName>
    <definedName name="Loan1_Fees" localSheetId="2">'A. SOURCES AND USES'!$H$52</definedName>
    <definedName name="Loan1_Fees">#REF!</definedName>
    <definedName name="Loan1_Int_Rate" localSheetId="2">#REF!</definedName>
    <definedName name="Loan1_Int_Rate">#REF!</definedName>
    <definedName name="Loan1_Principal" localSheetId="2">#REF!</definedName>
    <definedName name="Loan1_Principal">#REF!</definedName>
    <definedName name="Loan1_Term" localSheetId="2">#REF!</definedName>
    <definedName name="Loan1_Term">#REF!</definedName>
    <definedName name="Loan2" localSheetId="2">#REF!</definedName>
    <definedName name="Loan2">#REF!</definedName>
    <definedName name="Loan2_Amortization" localSheetId="2">#REF!</definedName>
    <definedName name="Loan2_Amortization">#REF!</definedName>
    <definedName name="Loan2_DS" localSheetId="2">#REF!</definedName>
    <definedName name="Loan2_DS">#REF!</definedName>
    <definedName name="Loan2_Fees" localSheetId="2">'A. SOURCES AND USES'!$H$58</definedName>
    <definedName name="Loan2_Fees">#REF!</definedName>
    <definedName name="Loan2_Int_Rate" localSheetId="2">#REF!</definedName>
    <definedName name="Loan2_Int_Rate">#REF!</definedName>
    <definedName name="Loan2_Term" localSheetId="2">#REF!</definedName>
    <definedName name="Loan2_Term">#REF!</definedName>
    <definedName name="Loan3" localSheetId="2">#REF!</definedName>
    <definedName name="Loan3">#REF!</definedName>
    <definedName name="Loan3_Amortization" localSheetId="2">#REF!</definedName>
    <definedName name="Loan3_Amortization">#REF!</definedName>
    <definedName name="Loan3_DS" localSheetId="2">#REF!</definedName>
    <definedName name="Loan3_DS">#REF!</definedName>
    <definedName name="Loan3_Fees" localSheetId="2">'A. SOURCES AND USES'!#REF!</definedName>
    <definedName name="Loan3_Fees">#REF!</definedName>
    <definedName name="Loan3_Int_Rate" localSheetId="2">#REF!</definedName>
    <definedName name="Loan3_Int_Rate">#REF!</definedName>
    <definedName name="Loan3_Term" localSheetId="2">#REF!</definedName>
    <definedName name="Loan3_Term">#REF!</definedName>
    <definedName name="loanend">#REF!</definedName>
    <definedName name="loanrate">#REF!</definedName>
    <definedName name="LOCATION">#REF!</definedName>
    <definedName name="LSBEGIN1">#REF!</definedName>
    <definedName name="LSEND1">#REF!</definedName>
    <definedName name="ltv">#REF!</definedName>
    <definedName name="Market_Rent_SF">#REF!</definedName>
    <definedName name="me" hidden="1">{#N/A,#N/A,FALSE,"Input";#N/A,#N/A,FALSE,"Assumptions";#N/A,#N/A,FALSE,"Valuation";#N/A,#N/A,FALSE,"Financial Alternatives";#N/A,#N/A,FALSE,"Cash Flow"}</definedName>
    <definedName name="MONTHSCOL">#REF!</definedName>
    <definedName name="n_pmts_per">[9]Assumptions!$H$32</definedName>
    <definedName name="NAME">#REF!</definedName>
    <definedName name="NOI">#REF!</definedName>
    <definedName name="NOTE1">#REF!</definedName>
    <definedName name="NOTE2">#REF!</definedName>
    <definedName name="NOTE3">#REF!</definedName>
    <definedName name="NOTE4">#REF!</definedName>
    <definedName name="NOTE5">#REF!</definedName>
    <definedName name="NOTE6">#REF!</definedName>
    <definedName name="notepad">#REF!</definedName>
    <definedName name="NOTES">#REF!</definedName>
    <definedName name="Num_Pmt_Per_Year">#REF!</definedName>
    <definedName name="Number_of_Payments">MATCH(0.01,End_Bal,-1)+1</definedName>
    <definedName name="Number_of_Units">#REF!</definedName>
    <definedName name="Operating_Costs_SF">#REF!</definedName>
    <definedName name="Other">DATE(YEAR(Loan_Start),MONTH(Loan_Start)+Payment_Number,DAY(Loan_Start))</definedName>
    <definedName name="PAGE1">#REF!</definedName>
    <definedName name="PAGE2">#REF!</definedName>
    <definedName name="PAGE3">#REF!</definedName>
    <definedName name="PAGE4">#REF!</definedName>
    <definedName name="PAGE5">#REF!</definedName>
    <definedName name="PAGE6">#REF!</definedName>
    <definedName name="PAGE7">#REF!</definedName>
    <definedName name="PAGE8">#REF!</definedName>
    <definedName name="PANYNJ_uninv_WACC">#REF!</definedName>
    <definedName name="PANYNJ_WACC">#REF!</definedName>
    <definedName name="PANYNJDealDiscount">#REF!</definedName>
    <definedName name="PANYNJPrice">#REF!</definedName>
    <definedName name="part1">'[3]Sales Summary'!$B$1:$N$59</definedName>
    <definedName name="part2">'[3]Sales Summary'!$B$61:$M$106</definedName>
    <definedName name="part3">'[3]Sales Summary'!$B$106:$N$153</definedName>
    <definedName name="part4">'[3]Sales Summary'!$P$2:$AP$74</definedName>
    <definedName name="PARTIC">#REF!</definedName>
    <definedName name="Pay_Date">#REF!</definedName>
    <definedName name="Pay_Num">#REF!</definedName>
    <definedName name="Payment_Date">DATE(YEAR(Loan_Start),MONTH(Loan_Start)+Payment_Number,DAY(Loan_Start))</definedName>
    <definedName name="per_room">'[3]Sales Summary'!$I$74</definedName>
    <definedName name="percentage_month">[7]Analysis!#REF!</definedName>
    <definedName name="percentage_sf">[7]Analysis!#REF!</definedName>
    <definedName name="PERMLOAN">#REF!</definedName>
    <definedName name="PLACESET">#REF!</definedName>
    <definedName name="PRCASHFLOW1">#REF!</definedName>
    <definedName name="PRCASHFLOW2">#REF!</definedName>
    <definedName name="PRCONFLOWMKT">#REF!</definedName>
    <definedName name="PRCONST">#REF!</definedName>
    <definedName name="PRCOSTCOMB">#REF!</definedName>
    <definedName name="PRCOSTMKT">#REF!</definedName>
    <definedName name="PRCOSTNAV">#REF!</definedName>
    <definedName name="price">#REF!</definedName>
    <definedName name="Primary_Loan">#REF!</definedName>
    <definedName name="Princ">#REF!</definedName>
    <definedName name="print">#REF!</definedName>
    <definedName name="_xlnm.Print_Area" localSheetId="2">'A. SOURCES AND USES'!$A$1:$L$151</definedName>
    <definedName name="_xlnm.Print_Area" localSheetId="0">Assumptions!$A$1:$U$132</definedName>
    <definedName name="_xlnm.Print_Area" localSheetId="1">'Calculation&amp;Summary'!$P$3:$T$96</definedName>
    <definedName name="_xlnm.Print_Area">#REF!</definedName>
    <definedName name="Print_Area_MI">#REF!</definedName>
    <definedName name="Print_Area_Reset">OFFSET(Full_Print,0,0,Last_Row)</definedName>
    <definedName name="_xlnm.Print_Titles" localSheetId="2">'A. SOURCES AND USES'!$1:$1</definedName>
    <definedName name="PRINTCOL">#REF!</definedName>
    <definedName name="PRINTMACRO">#REF!</definedName>
    <definedName name="PRIRRFLOW1">#REF!</definedName>
    <definedName name="PRIRRFLOW2">#REF!</definedName>
    <definedName name="Probability_of_Lease_Renewal">[4]Rents!$C$4</definedName>
    <definedName name="PRODIND">#REF!</definedName>
    <definedName name="PROF">#REF!</definedName>
    <definedName name="PROFBEGINMO">#REF!</definedName>
    <definedName name="PROFEXPFACT">#REF!</definedName>
    <definedName name="proforma">#REF!</definedName>
    <definedName name="PROFRET">#REF!</definedName>
    <definedName name="PROJCOST">#REF!</definedName>
    <definedName name="PROJNM">#REF!</definedName>
    <definedName name="PROPSMKT">#REF!</definedName>
    <definedName name="PROPSNAV">#REF!</definedName>
    <definedName name="PROPSPAT">#REF!</definedName>
    <definedName name="PRREVAPP7">#REF!</definedName>
    <definedName name="PRSOUECENAV">#REF!</definedName>
    <definedName name="PRSOURCECOMB">#REF!</definedName>
    <definedName name="PRSOURCEMKT">#REF!</definedName>
    <definedName name="PRSOURCENAV">#REF!</definedName>
    <definedName name="PRSW">#REF!</definedName>
    <definedName name="PRSW1">#REF!</definedName>
    <definedName name="PRSW2">#REF!</definedName>
    <definedName name="PRSW3">#REF!</definedName>
    <definedName name="PRSW4">#REF!</definedName>
    <definedName name="PRSW5">#REF!</definedName>
    <definedName name="PRSW6">#REF!</definedName>
    <definedName name="PRSW7">#REF!</definedName>
    <definedName name="PRSW8">#REF!</definedName>
    <definedName name="PRSW9">#REF!</definedName>
    <definedName name="prswa">#REF!</definedName>
    <definedName name="prswb">#REF!</definedName>
    <definedName name="prswc">#REF!</definedName>
    <definedName name="prswd">#REF!</definedName>
    <definedName name="prswe">#REF!</definedName>
    <definedName name="prswf">#REF!</definedName>
    <definedName name="prswg">#REF!</definedName>
    <definedName name="prswh">#REF!</definedName>
    <definedName name="prswi">#REF!</definedName>
    <definedName name="prswj">#REF!</definedName>
    <definedName name="prswk">#REF!</definedName>
    <definedName name="prswl">#REF!</definedName>
    <definedName name="prswm">#REF!</definedName>
    <definedName name="prswn">#REF!</definedName>
    <definedName name="PTAX">#REF!</definedName>
    <definedName name="PTAXDOL">#REF!</definedName>
    <definedName name="PV_Benefits_After_Tax" localSheetId="2">#REF!</definedName>
    <definedName name="PV_Benefits_After_Tax">#REF!</definedName>
    <definedName name="Rcap">#REF!</definedName>
    <definedName name="reinstate">[2]Budget!#REF!</definedName>
    <definedName name="RENTEXPA">#REF!</definedName>
    <definedName name="RENTEXPB">#REF!</definedName>
    <definedName name="RENTEXPC">#REF!</definedName>
    <definedName name="RENTEXPMST">#REF!</definedName>
    <definedName name="RENTINPA">#REF!</definedName>
    <definedName name="rentmat">#REF!</definedName>
    <definedName name="resdiscrate">#REF!</definedName>
    <definedName name="restsize">[2]Budget!#REF!</definedName>
    <definedName name="Rirr">#REF!</definedName>
    <definedName name="rooms">'[3]Sales Summary'!$E$14</definedName>
    <definedName name="Rprice">#REF!</definedName>
    <definedName name="SalesCost">'[10]Base Case'!$B$37</definedName>
    <definedName name="saleyear">#REF!</definedName>
    <definedName name="Sched_Pay">#REF!</definedName>
    <definedName name="Scheduled_Extra_Payments">#REF!</definedName>
    <definedName name="Scheduled_Interest_Rate">#REF!</definedName>
    <definedName name="Scheduled_Monthly_Payment">#REF!</definedName>
    <definedName name="scost">#REF!</definedName>
    <definedName name="Secondary_Loan">#REF!</definedName>
    <definedName name="Secondary_Loan_Per_Unit">#REF!</definedName>
    <definedName name="SENDBL">#REF!</definedName>
    <definedName name="SENDMAT">#REF!</definedName>
    <definedName name="sendproj">#REF!</definedName>
    <definedName name="servoffsize">[2]Budget!#REF!</definedName>
    <definedName name="SF" localSheetId="2">#REF!</definedName>
    <definedName name="sf">#REF!</definedName>
    <definedName name="SF_Total">'[10]Base Case'!$B$35</definedName>
    <definedName name="SITENAME">#REF!</definedName>
    <definedName name="skylobbysize">[2]Budget!#REF!</definedName>
    <definedName name="Soft">[6]Clasifications!$C$2:$C$8</definedName>
    <definedName name="spasize">[2]Budget!#REF!</definedName>
    <definedName name="Stabilized_EGI" localSheetId="2">#REF!</definedName>
    <definedName name="Stabilized_EGI">#REF!</definedName>
    <definedName name="Stabilized_Gross_Income" localSheetId="2">#REF!</definedName>
    <definedName name="Stabilized_Gross_Income">#REF!</definedName>
    <definedName name="Stabilized_NOI" localSheetId="2">#REF!</definedName>
    <definedName name="Stabilized_NOI">#REF!</definedName>
    <definedName name="StartYear">#REF!</definedName>
    <definedName name="SUMFLOW">#REF!</definedName>
    <definedName name="SUMMARY" localSheetId="2">'A. SOURCES AND USES'!$A$1:$H$173</definedName>
    <definedName name="summary">#REF!</definedName>
    <definedName name="Tax_Rate" localSheetId="2">#REF!</definedName>
    <definedName name="Tax_Rate">#REF!</definedName>
    <definedName name="TENRENT">#REF!</definedName>
    <definedName name="TENSET">#REF!</definedName>
    <definedName name="term">#REF!</definedName>
    <definedName name="test1">#REF!</definedName>
    <definedName name="ti">[2]Budget!#REF!</definedName>
    <definedName name="TIDOL">#REF!</definedName>
    <definedName name="TOP">#REF!</definedName>
    <definedName name="TOPSCH">#REF!</definedName>
    <definedName name="Total_Interest">#REF!</definedName>
    <definedName name="Total_Pay">#REF!</definedName>
    <definedName name="Total_Payment">Scheduled_Payment+Extra_Payment</definedName>
    <definedName name="Total_Payment2">Scheduled_Payment+Extra_Payment</definedName>
    <definedName name="totalsize">[2]Budget!#REF!</definedName>
    <definedName name="TOTCOST">#REF!</definedName>
    <definedName name="TOTMOS">#REF!</definedName>
    <definedName name="TOTSF">#REF!</definedName>
    <definedName name="travelsize">[2]Budget!#REF!</definedName>
    <definedName name="travelsize1">[2]Budget!#REF!</definedName>
    <definedName name="Unqualified">[6]Clasifications!$D$2</definedName>
    <definedName name="value">'[3]Sales Summary'!$H$74</definedName>
    <definedName name="value1" hidden="1">{#N/A,#N/A,FALSE,"Cashflow Analysis";#N/A,#N/A,FALSE,"Sensitivity Analysis";#N/A,#N/A,FALSE,"PV";#N/A,#N/A,FALSE,"Pro Forma"}</definedName>
    <definedName name="Values_Entered">#N/A</definedName>
    <definedName name="wrn.Development._.Model." hidden="1">{#N/A,#N/A,FALSE,"Input";#N/A,#N/A,FALSE,"Assumptions";#N/A,#N/A,FALSE,"Valuation";#N/A,#N/A,FALSE,"Financial Alternatives";#N/A,#N/A,FALSE,"Cash Flow"}</definedName>
    <definedName name="wrn.Value." hidden="1">{#N/A,#N/A,FALSE,"Cashflow Analysis";#N/A,#N/A,FALSE,"Sensitivity Analysis";#N/A,#N/A,FALSE,"PV";#N/A,#N/A,FALSE,"Pro Forma"}</definedName>
    <definedName name="x" hidden="1">{#N/A,#N/A,FALSE,"Cashflow Analysis";#N/A,#N/A,FALSE,"Sensitivity Analysis";#N/A,#N/A,FALSE,"PV";#N/A,#N/A,FALSE,"Pro Forma"}</definedName>
    <definedName name="year20" localSheetId="2">#REF!</definedName>
    <definedName name="year20">#REF!</definedName>
    <definedName name="yearend">'[11]Key Import'!$A$10</definedName>
    <definedName name="Years_from_Start_to_Lease_Out">#REF!</definedName>
    <definedName name="Z_634A1520_E90F_40AB_99D7_D3EA3B72D3CB_.wvu.PrintArea" localSheetId="2" hidden="1">'A. SOURCES AND USES'!$A$1:$H$145</definedName>
    <definedName name="Z_634A1520_E90F_40AB_99D7_D3EA3B72D3CB_.wvu.Rows" localSheetId="2" hidden="1">'A. SOURCES AND USES'!$285:$311</definedName>
    <definedName name="Z_750F583F_E0B7_49B3_87F1_CAC982E81540_.wvu.PrintArea" localSheetId="2" hidden="1">'A. SOURCES AND USES'!$A$1:$H$145</definedName>
    <definedName name="Z_750F583F_E0B7_49B3_87F1_CAC982E81540_.wvu.Rows" localSheetId="2" hidden="1">'A. SOURCES AND USES'!$285:$311</definedName>
  </definedNames>
  <calcPr calcId="125725"/>
</workbook>
</file>

<file path=xl/calcChain.xml><?xml version="1.0" encoding="utf-8"?>
<calcChain xmlns="http://schemas.openxmlformats.org/spreadsheetml/2006/main">
  <c r="Q68" i="70"/>
  <c r="E109" i="73"/>
  <c r="Q69" i="70" l="1"/>
  <c r="R94"/>
  <c r="AG63"/>
  <c r="AX9"/>
  <c r="AP9"/>
  <c r="AH9"/>
  <c r="AG64" l="1"/>
  <c r="E6" i="102"/>
  <c r="E5"/>
  <c r="E4"/>
  <c r="E3"/>
  <c r="B6"/>
  <c r="B5"/>
  <c r="B4"/>
  <c r="B3"/>
  <c r="E24" i="73"/>
  <c r="AG65" i="70" l="1"/>
  <c r="AG66" s="1"/>
  <c r="AG67" s="1"/>
  <c r="Q100"/>
  <c r="Y66" i="73"/>
  <c r="Y65"/>
  <c r="Y64"/>
  <c r="Y63"/>
  <c r="Y62"/>
  <c r="Y61"/>
  <c r="Y60"/>
  <c r="Y59"/>
  <c r="Y58"/>
  <c r="Y57"/>
  <c r="Y56"/>
  <c r="Y55"/>
  <c r="Y54"/>
  <c r="Y53"/>
  <c r="Y52"/>
  <c r="Y51"/>
  <c r="Y50"/>
  <c r="Y49"/>
  <c r="Y48"/>
  <c r="Y47"/>
  <c r="Y46"/>
  <c r="Y45"/>
  <c r="Y44"/>
  <c r="Y43"/>
  <c r="Y42"/>
  <c r="Y41"/>
  <c r="Y40"/>
  <c r="Y39"/>
  <c r="Y38"/>
  <c r="Y37"/>
  <c r="Y36"/>
  <c r="Y35"/>
  <c r="Y34"/>
  <c r="Y33"/>
  <c r="Y32"/>
  <c r="Y31"/>
  <c r="Y30"/>
  <c r="Y29"/>
  <c r="Y28"/>
  <c r="Y27"/>
  <c r="Y26"/>
  <c r="Y25"/>
  <c r="Y24"/>
  <c r="Y23"/>
  <c r="Y22"/>
  <c r="Y21"/>
  <c r="Y20"/>
  <c r="Y19"/>
  <c r="Y18"/>
  <c r="Y17"/>
  <c r="Y16"/>
  <c r="Y15"/>
  <c r="Y14"/>
  <c r="Y13"/>
  <c r="Y12"/>
  <c r="Y11"/>
  <c r="Y10"/>
  <c r="Y9"/>
  <c r="Y8"/>
  <c r="Y7"/>
  <c r="Y6"/>
  <c r="Y5"/>
  <c r="O13"/>
  <c r="AE25"/>
  <c r="AE24"/>
  <c r="AE23"/>
  <c r="AE22"/>
  <c r="AE21"/>
  <c r="AE20"/>
  <c r="AE19"/>
  <c r="AE18"/>
  <c r="AE17"/>
  <c r="AE16"/>
  <c r="AE15"/>
  <c r="AE14"/>
  <c r="AE13"/>
  <c r="AE12"/>
  <c r="AE11"/>
  <c r="AE10"/>
  <c r="AE9"/>
  <c r="AE8"/>
  <c r="AE7"/>
  <c r="AE6"/>
  <c r="AE5"/>
  <c r="AG68" i="70" l="1"/>
  <c r="J31" i="73"/>
  <c r="S10" i="70" s="1"/>
  <c r="AG69" l="1"/>
  <c r="AG70" s="1"/>
  <c r="H70" i="87"/>
  <c r="H71" s="1"/>
  <c r="G70"/>
  <c r="G71" s="1"/>
  <c r="F70"/>
  <c r="F71" s="1"/>
  <c r="E70"/>
  <c r="E71" s="1"/>
  <c r="D70"/>
  <c r="D71" s="1"/>
  <c r="H70" i="86"/>
  <c r="H71" s="1"/>
  <c r="G70"/>
  <c r="G71" s="1"/>
  <c r="F70"/>
  <c r="F71" s="1"/>
  <c r="E70"/>
  <c r="E71" s="1"/>
  <c r="D70"/>
  <c r="D71" s="1"/>
  <c r="H70" i="85"/>
  <c r="H71" s="1"/>
  <c r="G70"/>
  <c r="G71" s="1"/>
  <c r="F70"/>
  <c r="F71" s="1"/>
  <c r="E70"/>
  <c r="E71" s="1"/>
  <c r="D70"/>
  <c r="D71" s="1"/>
  <c r="H70" i="84"/>
  <c r="H71" s="1"/>
  <c r="G70"/>
  <c r="G71" s="1"/>
  <c r="F70"/>
  <c r="F71" s="1"/>
  <c r="E70"/>
  <c r="E71" s="1"/>
  <c r="D70"/>
  <c r="D71" s="1"/>
  <c r="H70" i="83"/>
  <c r="H71" s="1"/>
  <c r="G70"/>
  <c r="G71" s="1"/>
  <c r="F70"/>
  <c r="F71" s="1"/>
  <c r="E70"/>
  <c r="E71" s="1"/>
  <c r="D70"/>
  <c r="D71" s="1"/>
  <c r="H70" i="82"/>
  <c r="H71" s="1"/>
  <c r="G70"/>
  <c r="G71" s="1"/>
  <c r="F70"/>
  <c r="F71" s="1"/>
  <c r="E70"/>
  <c r="E71" s="1"/>
  <c r="D70"/>
  <c r="D71" s="1"/>
  <c r="H70" i="80"/>
  <c r="H71" s="1"/>
  <c r="G70"/>
  <c r="G71" s="1"/>
  <c r="F70"/>
  <c r="F71" s="1"/>
  <c r="E70"/>
  <c r="E71" s="1"/>
  <c r="D70"/>
  <c r="D71" s="1"/>
  <c r="H70" i="79"/>
  <c r="H71" s="1"/>
  <c r="G70"/>
  <c r="G71" s="1"/>
  <c r="F70"/>
  <c r="F71" s="1"/>
  <c r="E70"/>
  <c r="E71" s="1"/>
  <c r="D70"/>
  <c r="D71" s="1"/>
  <c r="H70" i="97"/>
  <c r="H71" s="1"/>
  <c r="G70"/>
  <c r="G71" s="1"/>
  <c r="F70"/>
  <c r="F71" s="1"/>
  <c r="E70"/>
  <c r="E71" s="1"/>
  <c r="D70"/>
  <c r="D71" s="1"/>
  <c r="H70" i="78"/>
  <c r="H71" s="1"/>
  <c r="G70"/>
  <c r="G71" s="1"/>
  <c r="F70"/>
  <c r="F71" s="1"/>
  <c r="E70"/>
  <c r="E71" s="1"/>
  <c r="D70"/>
  <c r="D71" s="1"/>
  <c r="H70" i="101"/>
  <c r="H71" s="1"/>
  <c r="G70"/>
  <c r="G71" s="1"/>
  <c r="F70"/>
  <c r="F71" s="1"/>
  <c r="E70"/>
  <c r="E71" s="1"/>
  <c r="D70"/>
  <c r="D71" s="1"/>
  <c r="C70" i="87"/>
  <c r="C71" s="1"/>
  <c r="C70" i="86"/>
  <c r="C71" s="1"/>
  <c r="C70" i="85"/>
  <c r="C71" s="1"/>
  <c r="C70" i="84"/>
  <c r="C71" s="1"/>
  <c r="C70" i="83"/>
  <c r="C71" s="1"/>
  <c r="C70" i="82"/>
  <c r="C71" s="1"/>
  <c r="C70" i="80"/>
  <c r="C71" s="1"/>
  <c r="C70" i="79"/>
  <c r="C71" s="1"/>
  <c r="C70" i="97"/>
  <c r="C71" s="1"/>
  <c r="C70" i="78"/>
  <c r="C71" s="1"/>
  <c r="C70" i="101"/>
  <c r="C71" s="1"/>
  <c r="E71" i="89"/>
  <c r="H70" i="90"/>
  <c r="H71" s="1"/>
  <c r="G70"/>
  <c r="G71" s="1"/>
  <c r="F70"/>
  <c r="F71" s="1"/>
  <c r="E70"/>
  <c r="E71" s="1"/>
  <c r="D70"/>
  <c r="D71" s="1"/>
  <c r="H70" i="89"/>
  <c r="H71" s="1"/>
  <c r="G70"/>
  <c r="G71" s="1"/>
  <c r="F70"/>
  <c r="F71" s="1"/>
  <c r="E70"/>
  <c r="D70"/>
  <c r="D71" s="1"/>
  <c r="H70" i="88"/>
  <c r="H71" s="1"/>
  <c r="G70"/>
  <c r="G71" s="1"/>
  <c r="F70"/>
  <c r="F71" s="1"/>
  <c r="E70"/>
  <c r="E71" s="1"/>
  <c r="D70"/>
  <c r="D71" s="1"/>
  <c r="H70" i="91"/>
  <c r="H71" s="1"/>
  <c r="G70"/>
  <c r="G71" s="1"/>
  <c r="F70"/>
  <c r="F71" s="1"/>
  <c r="E70"/>
  <c r="E71" s="1"/>
  <c r="D70"/>
  <c r="D71" s="1"/>
  <c r="C70" i="90"/>
  <c r="C71" s="1"/>
  <c r="C70" i="89"/>
  <c r="C71" s="1"/>
  <c r="C70" i="88"/>
  <c r="C71" s="1"/>
  <c r="C70" i="91"/>
  <c r="C71" s="1"/>
  <c r="H70" i="99"/>
  <c r="H71" s="1"/>
  <c r="G70"/>
  <c r="G71" s="1"/>
  <c r="F70"/>
  <c r="F71" s="1"/>
  <c r="E70"/>
  <c r="E71" s="1"/>
  <c r="D70"/>
  <c r="D71" s="1"/>
  <c r="C70"/>
  <c r="C71" s="1"/>
  <c r="H70" i="93"/>
  <c r="H71" s="1"/>
  <c r="G70"/>
  <c r="G71" s="1"/>
  <c r="F70"/>
  <c r="F71" s="1"/>
  <c r="E70"/>
  <c r="E71" s="1"/>
  <c r="D70"/>
  <c r="D71" s="1"/>
  <c r="C70"/>
  <c r="C71" s="1"/>
  <c r="H70" i="100"/>
  <c r="H71" s="1"/>
  <c r="G70"/>
  <c r="G71" s="1"/>
  <c r="F70"/>
  <c r="F71" s="1"/>
  <c r="E70"/>
  <c r="E71" s="1"/>
  <c r="D70"/>
  <c r="D71" s="1"/>
  <c r="C70"/>
  <c r="C71" s="1"/>
  <c r="H70" i="92"/>
  <c r="H71" s="1"/>
  <c r="G70"/>
  <c r="G71" s="1"/>
  <c r="F70"/>
  <c r="F71" s="1"/>
  <c r="E70"/>
  <c r="E71" s="1"/>
  <c r="D70"/>
  <c r="D71" s="1"/>
  <c r="C70"/>
  <c r="C71" s="1"/>
  <c r="H70" i="81"/>
  <c r="H71" s="1"/>
  <c r="G70"/>
  <c r="G71" s="1"/>
  <c r="F70"/>
  <c r="F71" s="1"/>
  <c r="E70"/>
  <c r="E71" s="1"/>
  <c r="D70"/>
  <c r="D71" s="1"/>
  <c r="C70"/>
  <c r="C71" s="1"/>
  <c r="H70" i="77"/>
  <c r="H71" s="1"/>
  <c r="G70"/>
  <c r="G71" s="1"/>
  <c r="F70"/>
  <c r="F71" s="1"/>
  <c r="E70"/>
  <c r="E71" s="1"/>
  <c r="D70"/>
  <c r="D71" s="1"/>
  <c r="C70"/>
  <c r="C71" s="1"/>
  <c r="AG71" i="70" l="1"/>
  <c r="AG72" s="1"/>
  <c r="AG73" s="1"/>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5"/>
  <c r="A4"/>
  <c r="A3"/>
  <c r="A2"/>
  <c r="B2"/>
  <c r="AG74" l="1"/>
  <c r="AG75" s="1"/>
  <c r="AI9"/>
  <c r="O87" i="73"/>
  <c r="Q42" i="70"/>
  <c r="O78" i="73"/>
  <c r="O82"/>
  <c r="O80"/>
  <c r="O75"/>
  <c r="O85"/>
  <c r="AG76" i="70" l="1"/>
  <c r="AG77" s="1"/>
  <c r="Q112"/>
  <c r="Q45"/>
  <c r="T104" i="73" s="1"/>
  <c r="O16"/>
  <c r="AM51" i="70"/>
  <c r="AM52" s="1"/>
  <c r="AM53" s="1"/>
  <c r="AM49"/>
  <c r="AM48" s="1"/>
  <c r="AM47" s="1"/>
  <c r="AM46" s="1"/>
  <c r="AK35"/>
  <c r="AG78" l="1"/>
  <c r="AG79" s="1"/>
  <c r="AG80" s="1"/>
  <c r="AG81" s="1"/>
  <c r="AG82" s="1"/>
  <c r="E31" i="73"/>
  <c r="Q10" i="70" s="1"/>
  <c r="Q107"/>
  <c r="O92" i="73"/>
  <c r="O101"/>
  <c r="O99"/>
  <c r="O97"/>
  <c r="O90"/>
  <c r="O94"/>
  <c r="AG83" i="70" l="1"/>
  <c r="Q36"/>
  <c r="O31" i="73"/>
  <c r="U10" i="70" s="1"/>
  <c r="J21" i="73"/>
  <c r="E26" s="1"/>
  <c r="AG84" i="70" l="1"/>
  <c r="Q41"/>
  <c r="AJ53"/>
  <c r="AL53" s="1"/>
  <c r="AJ52"/>
  <c r="AL52" s="1"/>
  <c r="AJ51"/>
  <c r="AL51" s="1"/>
  <c r="AJ50"/>
  <c r="AL50" s="1"/>
  <c r="AJ49"/>
  <c r="AL49" s="1"/>
  <c r="AJ48"/>
  <c r="AL48" s="1"/>
  <c r="AJ47"/>
  <c r="AL47" s="1"/>
  <c r="AJ46"/>
  <c r="AL46" s="1"/>
  <c r="AG53"/>
  <c r="AG52"/>
  <c r="AG51"/>
  <c r="AG50"/>
  <c r="AG49"/>
  <c r="AG48"/>
  <c r="AG47"/>
  <c r="AG46"/>
  <c r="G52" i="76"/>
  <c r="AF30" i="70"/>
  <c r="AE30"/>
  <c r="AF29"/>
  <c r="AE29"/>
  <c r="AF28"/>
  <c r="AE28"/>
  <c r="AF27"/>
  <c r="AE27"/>
  <c r="AF26"/>
  <c r="AE26"/>
  <c r="AF25"/>
  <c r="AE25"/>
  <c r="AF24"/>
  <c r="AE24"/>
  <c r="AF23"/>
  <c r="AE23"/>
  <c r="AF22"/>
  <c r="AE22"/>
  <c r="AF21"/>
  <c r="AE21"/>
  <c r="AF20"/>
  <c r="AE20"/>
  <c r="AF19"/>
  <c r="AE19"/>
  <c r="AF18"/>
  <c r="AE18"/>
  <c r="AF17"/>
  <c r="AE17"/>
  <c r="AF16"/>
  <c r="AE16"/>
  <c r="AF15"/>
  <c r="AE15"/>
  <c r="AF14"/>
  <c r="AE14"/>
  <c r="AF13"/>
  <c r="AE13"/>
  <c r="AF12"/>
  <c r="AE12"/>
  <c r="AF11"/>
  <c r="AE11"/>
  <c r="AF10"/>
  <c r="AE10"/>
  <c r="S8"/>
  <c r="S6" s="1"/>
  <c r="AX10"/>
  <c r="AY10"/>
  <c r="AX11"/>
  <c r="AY11"/>
  <c r="AX12"/>
  <c r="AY12"/>
  <c r="AX13"/>
  <c r="AY13"/>
  <c r="AX14"/>
  <c r="AY14"/>
  <c r="AX15"/>
  <c r="AY15"/>
  <c r="AX16"/>
  <c r="AY16"/>
  <c r="AX17"/>
  <c r="AY17"/>
  <c r="AX18"/>
  <c r="AY18"/>
  <c r="AX19"/>
  <c r="AY19"/>
  <c r="AX20"/>
  <c r="AY20"/>
  <c r="AX21"/>
  <c r="AY21"/>
  <c r="AX22"/>
  <c r="AY22"/>
  <c r="AX23"/>
  <c r="AY23"/>
  <c r="AX24"/>
  <c r="AY24"/>
  <c r="AX25"/>
  <c r="AY25"/>
  <c r="AX26"/>
  <c r="AY26"/>
  <c r="AX27"/>
  <c r="AY27"/>
  <c r="AX28"/>
  <c r="AY28"/>
  <c r="AX29"/>
  <c r="AY29"/>
  <c r="AX30"/>
  <c r="AY30"/>
  <c r="AY9"/>
  <c r="AV30"/>
  <c r="AU30"/>
  <c r="AV29"/>
  <c r="AU29"/>
  <c r="AV28"/>
  <c r="AU28"/>
  <c r="AV27"/>
  <c r="AU27"/>
  <c r="AV26"/>
  <c r="AU26"/>
  <c r="AV25"/>
  <c r="AU25"/>
  <c r="AV24"/>
  <c r="AU24"/>
  <c r="AV23"/>
  <c r="AU23"/>
  <c r="AV22"/>
  <c r="AU22"/>
  <c r="AV21"/>
  <c r="AU21"/>
  <c r="AV20"/>
  <c r="AU20"/>
  <c r="AV19"/>
  <c r="AU19"/>
  <c r="AV18"/>
  <c r="AU18"/>
  <c r="AV17"/>
  <c r="AU17"/>
  <c r="AV16"/>
  <c r="AU16"/>
  <c r="AV15"/>
  <c r="AU15"/>
  <c r="AV14"/>
  <c r="AU14"/>
  <c r="AV13"/>
  <c r="AU13"/>
  <c r="AV12"/>
  <c r="AU12"/>
  <c r="AV11"/>
  <c r="AU11"/>
  <c r="AV10"/>
  <c r="AU10"/>
  <c r="AV9"/>
  <c r="AU9"/>
  <c r="AQ30"/>
  <c r="AP30"/>
  <c r="AQ29"/>
  <c r="AP29"/>
  <c r="AQ28"/>
  <c r="AP28"/>
  <c r="AQ27"/>
  <c r="AP27"/>
  <c r="AQ26"/>
  <c r="AP26"/>
  <c r="AQ25"/>
  <c r="AP25"/>
  <c r="AQ24"/>
  <c r="AP24"/>
  <c r="AQ23"/>
  <c r="AP23"/>
  <c r="AQ22"/>
  <c r="AP22"/>
  <c r="AQ21"/>
  <c r="AP21"/>
  <c r="AQ20"/>
  <c r="AP20"/>
  <c r="AQ19"/>
  <c r="AP19"/>
  <c r="AQ18"/>
  <c r="AP18"/>
  <c r="AQ17"/>
  <c r="AP17"/>
  <c r="AQ16"/>
  <c r="AP16"/>
  <c r="AQ15"/>
  <c r="AP15"/>
  <c r="AQ14"/>
  <c r="AP14"/>
  <c r="AQ13"/>
  <c r="AP13"/>
  <c r="AQ12"/>
  <c r="AP12"/>
  <c r="AQ11"/>
  <c r="AP11"/>
  <c r="AQ10"/>
  <c r="AP10"/>
  <c r="AQ9"/>
  <c r="AN30"/>
  <c r="AM30"/>
  <c r="AN29"/>
  <c r="AM29"/>
  <c r="AN28"/>
  <c r="AM28"/>
  <c r="AN27"/>
  <c r="AM27"/>
  <c r="AN26"/>
  <c r="AM26"/>
  <c r="AN25"/>
  <c r="AM25"/>
  <c r="AN24"/>
  <c r="AM24"/>
  <c r="AN23"/>
  <c r="AM23"/>
  <c r="AN22"/>
  <c r="AM22"/>
  <c r="AN21"/>
  <c r="AM21"/>
  <c r="AN20"/>
  <c r="AM20"/>
  <c r="AN19"/>
  <c r="AM19"/>
  <c r="AN18"/>
  <c r="AM18"/>
  <c r="AN17"/>
  <c r="AM17"/>
  <c r="AN16"/>
  <c r="AM16"/>
  <c r="AN15"/>
  <c r="AM15"/>
  <c r="AN14"/>
  <c r="AM14"/>
  <c r="AN13"/>
  <c r="AM13"/>
  <c r="AN12"/>
  <c r="AM12"/>
  <c r="AN11"/>
  <c r="AM11"/>
  <c r="AN10"/>
  <c r="AM10"/>
  <c r="AN9"/>
  <c r="AM9"/>
  <c r="AI30"/>
  <c r="AH30"/>
  <c r="AI29"/>
  <c r="AH29"/>
  <c r="AI28"/>
  <c r="AH28"/>
  <c r="AI27"/>
  <c r="AH27"/>
  <c r="AI26"/>
  <c r="AH26"/>
  <c r="AI25"/>
  <c r="AH25"/>
  <c r="AI24"/>
  <c r="AH24"/>
  <c r="AI23"/>
  <c r="AH23"/>
  <c r="AI22"/>
  <c r="AH22"/>
  <c r="AI21"/>
  <c r="AH21"/>
  <c r="AI20"/>
  <c r="AH20"/>
  <c r="AI19"/>
  <c r="AH19"/>
  <c r="AI18"/>
  <c r="AH18"/>
  <c r="AI17"/>
  <c r="AH17"/>
  <c r="AI16"/>
  <c r="AH16"/>
  <c r="AI15"/>
  <c r="AH15"/>
  <c r="AI14"/>
  <c r="AH14"/>
  <c r="AI13"/>
  <c r="AH13"/>
  <c r="AI12"/>
  <c r="AH12"/>
  <c r="AI11"/>
  <c r="AH11"/>
  <c r="AI10"/>
  <c r="AH10"/>
  <c r="AF9"/>
  <c r="AE9"/>
  <c r="D36" i="73"/>
  <c r="D37" s="1"/>
  <c r="D38" s="1"/>
  <c r="D39" s="1"/>
  <c r="D40" s="1"/>
  <c r="D41" s="1"/>
  <c r="D42" s="1"/>
  <c r="D43" s="1"/>
  <c r="D44" s="1"/>
  <c r="D45" s="1"/>
  <c r="D46" s="1"/>
  <c r="D47" s="1"/>
  <c r="D48" s="1"/>
  <c r="D49" s="1"/>
  <c r="D50" s="1"/>
  <c r="D51" s="1"/>
  <c r="D52" s="1"/>
  <c r="D53" s="1"/>
  <c r="D54" s="1"/>
  <c r="D55" s="1"/>
  <c r="D56" s="1"/>
  <c r="J24"/>
  <c r="AG85" i="70" l="1"/>
  <c r="Q113"/>
  <c r="Q38"/>
  <c r="AO11"/>
  <c r="AO13"/>
  <c r="AO15"/>
  <c r="AO17"/>
  <c r="AN52"/>
  <c r="AO52" s="1"/>
  <c r="AN51"/>
  <c r="AO51" s="1"/>
  <c r="AN46"/>
  <c r="AO46" s="1"/>
  <c r="AJ12"/>
  <c r="AJ16"/>
  <c r="AJ20"/>
  <c r="AJ24"/>
  <c r="AJ28"/>
  <c r="AR10"/>
  <c r="AR14"/>
  <c r="AR18"/>
  <c r="AR22"/>
  <c r="AR28"/>
  <c r="AJ10"/>
  <c r="AJ14"/>
  <c r="AJ18"/>
  <c r="AJ22"/>
  <c r="AJ26"/>
  <c r="AJ30"/>
  <c r="AR12"/>
  <c r="AR16"/>
  <c r="AR20"/>
  <c r="AR24"/>
  <c r="AR26"/>
  <c r="AR30"/>
  <c r="AR9"/>
  <c r="AR11"/>
  <c r="AR13"/>
  <c r="AR15"/>
  <c r="AR17"/>
  <c r="AR19"/>
  <c r="AR21"/>
  <c r="AR23"/>
  <c r="AR25"/>
  <c r="AO10"/>
  <c r="AO12"/>
  <c r="AO14"/>
  <c r="AO16"/>
  <c r="AO18"/>
  <c r="AO20"/>
  <c r="AO22"/>
  <c r="AO24"/>
  <c r="AO26"/>
  <c r="AO28"/>
  <c r="AO30"/>
  <c r="AJ9"/>
  <c r="AO19"/>
  <c r="AO21"/>
  <c r="AO23"/>
  <c r="AO25"/>
  <c r="AO27"/>
  <c r="AJ11"/>
  <c r="AJ13"/>
  <c r="AJ15"/>
  <c r="AJ17"/>
  <c r="AJ19"/>
  <c r="AJ21"/>
  <c r="AJ23"/>
  <c r="AJ25"/>
  <c r="AJ27"/>
  <c r="AJ29"/>
  <c r="AR27"/>
  <c r="AR29"/>
  <c r="AO9"/>
  <c r="AN53"/>
  <c r="AO53" s="1"/>
  <c r="AN47"/>
  <c r="AO47" s="1"/>
  <c r="AN48"/>
  <c r="AO48" s="1"/>
  <c r="AN49"/>
  <c r="AO49" s="1"/>
  <c r="AN50"/>
  <c r="AO50" s="1"/>
  <c r="AD10"/>
  <c r="AT10"/>
  <c r="AL10"/>
  <c r="D149" i="76"/>
  <c r="B149"/>
  <c r="D148"/>
  <c r="B148"/>
  <c r="H145"/>
  <c r="H148" s="1"/>
  <c r="K144"/>
  <c r="K143"/>
  <c r="K142"/>
  <c r="K141"/>
  <c r="K140"/>
  <c r="K139"/>
  <c r="B139"/>
  <c r="B140" s="1"/>
  <c r="B141" s="1"/>
  <c r="B142" s="1"/>
  <c r="B143" s="1"/>
  <c r="B144" s="1"/>
  <c r="K138"/>
  <c r="H134"/>
  <c r="B128"/>
  <c r="B129" s="1"/>
  <c r="B130" s="1"/>
  <c r="B131" s="1"/>
  <c r="B132" s="1"/>
  <c r="B133" s="1"/>
  <c r="F123"/>
  <c r="D123"/>
  <c r="B123"/>
  <c r="F122"/>
  <c r="D122"/>
  <c r="B122"/>
  <c r="F121"/>
  <c r="D121"/>
  <c r="B121"/>
  <c r="F120"/>
  <c r="D120"/>
  <c r="B120"/>
  <c r="F119"/>
  <c r="D119"/>
  <c r="B119"/>
  <c r="F118"/>
  <c r="D118"/>
  <c r="B118"/>
  <c r="H109"/>
  <c r="H123" s="1"/>
  <c r="L108"/>
  <c r="K108"/>
  <c r="J108"/>
  <c r="H105"/>
  <c r="H122" s="1"/>
  <c r="L104"/>
  <c r="K104"/>
  <c r="J104"/>
  <c r="H101"/>
  <c r="H121" s="1"/>
  <c r="L100"/>
  <c r="K100"/>
  <c r="J100"/>
  <c r="L99"/>
  <c r="K99"/>
  <c r="J99"/>
  <c r="L98"/>
  <c r="K98"/>
  <c r="J98"/>
  <c r="L97"/>
  <c r="K97"/>
  <c r="J97"/>
  <c r="L96"/>
  <c r="K96"/>
  <c r="J96"/>
  <c r="L95"/>
  <c r="K95"/>
  <c r="J95"/>
  <c r="L94"/>
  <c r="K94"/>
  <c r="J94"/>
  <c r="L92"/>
  <c r="K92"/>
  <c r="J92"/>
  <c r="L91"/>
  <c r="K91"/>
  <c r="J91"/>
  <c r="L90"/>
  <c r="K90"/>
  <c r="J90"/>
  <c r="L89"/>
  <c r="K89"/>
  <c r="J89"/>
  <c r="L88"/>
  <c r="K88"/>
  <c r="J88"/>
  <c r="L86"/>
  <c r="K86"/>
  <c r="J86"/>
  <c r="L85"/>
  <c r="K85"/>
  <c r="J85"/>
  <c r="L84"/>
  <c r="K84"/>
  <c r="J84"/>
  <c r="L83"/>
  <c r="K83"/>
  <c r="J83"/>
  <c r="L82"/>
  <c r="K82"/>
  <c r="J82"/>
  <c r="L80"/>
  <c r="K80"/>
  <c r="J80"/>
  <c r="L79"/>
  <c r="K79"/>
  <c r="J79"/>
  <c r="L78"/>
  <c r="K78"/>
  <c r="J78"/>
  <c r="L77"/>
  <c r="K77"/>
  <c r="J77"/>
  <c r="L76"/>
  <c r="K76"/>
  <c r="J76"/>
  <c r="L74"/>
  <c r="K74"/>
  <c r="J74"/>
  <c r="L73"/>
  <c r="K73"/>
  <c r="J73"/>
  <c r="L71"/>
  <c r="K71"/>
  <c r="J71"/>
  <c r="L70"/>
  <c r="K70"/>
  <c r="J70"/>
  <c r="L69"/>
  <c r="K69"/>
  <c r="J69"/>
  <c r="L68"/>
  <c r="K68"/>
  <c r="J68"/>
  <c r="L67"/>
  <c r="K67"/>
  <c r="J67"/>
  <c r="L65"/>
  <c r="K65"/>
  <c r="J65"/>
  <c r="L64"/>
  <c r="K64"/>
  <c r="J64"/>
  <c r="L63"/>
  <c r="K63"/>
  <c r="J63"/>
  <c r="L62"/>
  <c r="K62"/>
  <c r="J62"/>
  <c r="L61"/>
  <c r="K61"/>
  <c r="J61"/>
  <c r="L60"/>
  <c r="K60"/>
  <c r="J60"/>
  <c r="L59"/>
  <c r="K59"/>
  <c r="J59"/>
  <c r="L57"/>
  <c r="K57"/>
  <c r="J57"/>
  <c r="L56"/>
  <c r="K56"/>
  <c r="J56"/>
  <c r="L55"/>
  <c r="K55"/>
  <c r="J55"/>
  <c r="L54"/>
  <c r="K54"/>
  <c r="J54"/>
  <c r="L53"/>
  <c r="K53"/>
  <c r="J53"/>
  <c r="B53"/>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H49"/>
  <c r="H120" s="1"/>
  <c r="L48"/>
  <c r="K48"/>
  <c r="J48"/>
  <c r="L47"/>
  <c r="K47"/>
  <c r="J47"/>
  <c r="L46"/>
  <c r="K46"/>
  <c r="J46"/>
  <c r="L45"/>
  <c r="K45"/>
  <c r="J45"/>
  <c r="L44"/>
  <c r="K44"/>
  <c r="J44"/>
  <c r="L43"/>
  <c r="K43"/>
  <c r="J43"/>
  <c r="L42"/>
  <c r="K42"/>
  <c r="J42"/>
  <c r="L41"/>
  <c r="K41"/>
  <c r="J41"/>
  <c r="L40"/>
  <c r="K40"/>
  <c r="J40"/>
  <c r="L39"/>
  <c r="K39"/>
  <c r="J39"/>
  <c r="L38"/>
  <c r="K38"/>
  <c r="J38"/>
  <c r="B38"/>
  <c r="B39" s="1"/>
  <c r="B40" s="1"/>
  <c r="B41" s="1"/>
  <c r="B42" s="1"/>
  <c r="B43" s="1"/>
  <c r="B44" s="1"/>
  <c r="B45" s="1"/>
  <c r="B46" s="1"/>
  <c r="B47" s="1"/>
  <c r="B48" s="1"/>
  <c r="L37"/>
  <c r="K37"/>
  <c r="J37"/>
  <c r="H34"/>
  <c r="H119" s="1"/>
  <c r="L33"/>
  <c r="K33"/>
  <c r="J33"/>
  <c r="L32"/>
  <c r="K32"/>
  <c r="J32"/>
  <c r="L31"/>
  <c r="K31"/>
  <c r="J31"/>
  <c r="L30"/>
  <c r="K30"/>
  <c r="J30"/>
  <c r="L29"/>
  <c r="K29"/>
  <c r="J29"/>
  <c r="L28"/>
  <c r="K28"/>
  <c r="J28"/>
  <c r="L27"/>
  <c r="K27"/>
  <c r="J27"/>
  <c r="L26"/>
  <c r="K26"/>
  <c r="J26"/>
  <c r="L25"/>
  <c r="K25"/>
  <c r="J25"/>
  <c r="L24"/>
  <c r="K24"/>
  <c r="J24"/>
  <c r="L23"/>
  <c r="K23"/>
  <c r="J23"/>
  <c r="K22"/>
  <c r="L21"/>
  <c r="K21"/>
  <c r="J21"/>
  <c r="L20"/>
  <c r="K20"/>
  <c r="J20"/>
  <c r="B20"/>
  <c r="B21" s="1"/>
  <c r="B22" s="1"/>
  <c r="B23" s="1"/>
  <c r="B24" s="1"/>
  <c r="B25" s="1"/>
  <c r="B26" s="1"/>
  <c r="B27" s="1"/>
  <c r="B28" s="1"/>
  <c r="B29" s="1"/>
  <c r="B30" s="1"/>
  <c r="B31" s="1"/>
  <c r="B32" s="1"/>
  <c r="B33" s="1"/>
  <c r="L19"/>
  <c r="K19"/>
  <c r="J19"/>
  <c r="H16"/>
  <c r="H118" s="1"/>
  <c r="L15"/>
  <c r="K15"/>
  <c r="J15"/>
  <c r="L14"/>
  <c r="K14"/>
  <c r="J14"/>
  <c r="L13"/>
  <c r="K13"/>
  <c r="J13"/>
  <c r="L12"/>
  <c r="K12"/>
  <c r="J12"/>
  <c r="L11"/>
  <c r="K11"/>
  <c r="J11"/>
  <c r="L10"/>
  <c r="K10"/>
  <c r="J10"/>
  <c r="B10"/>
  <c r="B11" s="1"/>
  <c r="B12" s="1"/>
  <c r="B13" s="1"/>
  <c r="B14" s="1"/>
  <c r="B15" s="1"/>
  <c r="L9"/>
  <c r="K9"/>
  <c r="J9"/>
  <c r="AG86" i="70" l="1"/>
  <c r="K145" i="76"/>
  <c r="K111"/>
  <c r="AJ7" i="70"/>
  <c r="AO54"/>
  <c r="Q43" s="1"/>
  <c r="T90" i="73" s="1"/>
  <c r="J111" i="76"/>
  <c r="L111"/>
  <c r="F124"/>
  <c r="H124"/>
  <c r="H111"/>
  <c r="K123" s="1"/>
  <c r="AG87" i="70" l="1"/>
  <c r="K113" i="76"/>
  <c r="E123"/>
  <c r="E121"/>
  <c r="E118"/>
  <c r="H149"/>
  <c r="H150" s="1"/>
  <c r="H151" s="1"/>
  <c r="E122"/>
  <c r="E120"/>
  <c r="E119"/>
  <c r="AG88" i="70" l="1"/>
  <c r="K117" i="76"/>
  <c r="K119" s="1"/>
  <c r="K115"/>
  <c r="E124"/>
  <c r="AG89" i="70" l="1"/>
  <c r="K124" i="76"/>
  <c r="K125" s="1"/>
  <c r="K127"/>
  <c r="AG90" i="70" l="1"/>
  <c r="E126" i="73"/>
  <c r="O126" s="1"/>
  <c r="AG9" i="70"/>
  <c r="W10"/>
  <c r="AG91" l="1"/>
  <c r="Q76"/>
  <c r="Q39" s="1"/>
  <c r="AG92" l="1"/>
  <c r="Q46"/>
  <c r="T107" i="73" s="1"/>
  <c r="Q78" i="70"/>
  <c r="AG93" l="1"/>
  <c r="AR8"/>
  <c r="AZ8" s="1"/>
  <c r="AQ8"/>
  <c r="AY8" s="1"/>
  <c r="AP8"/>
  <c r="AX8" s="1"/>
  <c r="AO8"/>
  <c r="AW8" s="1"/>
  <c r="AN8"/>
  <c r="AV8" s="1"/>
  <c r="Q37"/>
  <c r="U8"/>
  <c r="U6" s="1"/>
  <c r="Q8"/>
  <c r="Q6" s="1"/>
  <c r="BJ40"/>
  <c r="BJ41" s="1"/>
  <c r="BJ42" s="1"/>
  <c r="BJ43" s="1"/>
  <c r="BJ44" s="1"/>
  <c r="BJ45" s="1"/>
  <c r="BJ46" s="1"/>
  <c r="BJ47" s="1"/>
  <c r="BJ48" s="1"/>
  <c r="BJ49" s="1"/>
  <c r="BJ50" s="1"/>
  <c r="BJ51" s="1"/>
  <c r="BJ52" s="1"/>
  <c r="AG94" l="1"/>
  <c r="BJ53"/>
  <c r="BJ54" s="1"/>
  <c r="BJ55" s="1"/>
  <c r="BJ56" s="1"/>
  <c r="BJ57" s="1"/>
  <c r="BJ58" s="1"/>
  <c r="BJ59" s="1"/>
  <c r="Q35"/>
  <c r="AG95" l="1"/>
  <c r="H63"/>
  <c r="J62"/>
  <c r="F62"/>
  <c r="M62" s="1"/>
  <c r="G63"/>
  <c r="K63" s="1"/>
  <c r="I62"/>
  <c r="E62"/>
  <c r="J63"/>
  <c r="F63"/>
  <c r="M63" s="1"/>
  <c r="H62"/>
  <c r="I63"/>
  <c r="E63"/>
  <c r="G62"/>
  <c r="K62" s="1"/>
  <c r="L62" s="1"/>
  <c r="I61"/>
  <c r="G61"/>
  <c r="E61"/>
  <c r="I60"/>
  <c r="G60"/>
  <c r="E60"/>
  <c r="I59"/>
  <c r="G59"/>
  <c r="E59"/>
  <c r="I58"/>
  <c r="G58"/>
  <c r="E58"/>
  <c r="I57"/>
  <c r="G57"/>
  <c r="E57"/>
  <c r="I56"/>
  <c r="G56"/>
  <c r="E56"/>
  <c r="I55"/>
  <c r="G55"/>
  <c r="E55"/>
  <c r="I54"/>
  <c r="G54"/>
  <c r="E54"/>
  <c r="I53"/>
  <c r="G53"/>
  <c r="E53"/>
  <c r="I52"/>
  <c r="G52"/>
  <c r="E52"/>
  <c r="I51"/>
  <c r="G51"/>
  <c r="E51"/>
  <c r="I50"/>
  <c r="G50"/>
  <c r="E50"/>
  <c r="I49"/>
  <c r="G49"/>
  <c r="E49"/>
  <c r="I48"/>
  <c r="G48"/>
  <c r="E48"/>
  <c r="I47"/>
  <c r="G47"/>
  <c r="E47"/>
  <c r="I46"/>
  <c r="G46"/>
  <c r="E46"/>
  <c r="I45"/>
  <c r="G45"/>
  <c r="E45"/>
  <c r="I44"/>
  <c r="G44"/>
  <c r="E44"/>
  <c r="I43"/>
  <c r="G43"/>
  <c r="E43"/>
  <c r="I42"/>
  <c r="G42"/>
  <c r="E42"/>
  <c r="I41"/>
  <c r="G41"/>
  <c r="E41"/>
  <c r="I40"/>
  <c r="G40"/>
  <c r="E40"/>
  <c r="I39"/>
  <c r="G39"/>
  <c r="E39"/>
  <c r="I38"/>
  <c r="G38"/>
  <c r="E38"/>
  <c r="I37"/>
  <c r="G37"/>
  <c r="E37"/>
  <c r="I36"/>
  <c r="G36"/>
  <c r="E36"/>
  <c r="I35"/>
  <c r="G35"/>
  <c r="E35"/>
  <c r="I34"/>
  <c r="G34"/>
  <c r="E34"/>
  <c r="I33"/>
  <c r="G33"/>
  <c r="E33"/>
  <c r="I32"/>
  <c r="G32"/>
  <c r="E32"/>
  <c r="I31"/>
  <c r="G31"/>
  <c r="E31"/>
  <c r="I30"/>
  <c r="G30"/>
  <c r="E30"/>
  <c r="I29"/>
  <c r="G29"/>
  <c r="E29"/>
  <c r="I28"/>
  <c r="G28"/>
  <c r="E28"/>
  <c r="I27"/>
  <c r="G27"/>
  <c r="E27"/>
  <c r="I26"/>
  <c r="G26"/>
  <c r="E26"/>
  <c r="I25"/>
  <c r="G25"/>
  <c r="E25"/>
  <c r="I24"/>
  <c r="G24"/>
  <c r="E24"/>
  <c r="I23"/>
  <c r="G23"/>
  <c r="E23"/>
  <c r="I22"/>
  <c r="G22"/>
  <c r="E22"/>
  <c r="I21"/>
  <c r="G21"/>
  <c r="E21"/>
  <c r="I20"/>
  <c r="G20"/>
  <c r="E20"/>
  <c r="I19"/>
  <c r="G19"/>
  <c r="E19"/>
  <c r="I18"/>
  <c r="G18"/>
  <c r="E18"/>
  <c r="I17"/>
  <c r="G17"/>
  <c r="E17"/>
  <c r="I16"/>
  <c r="G16"/>
  <c r="E16"/>
  <c r="I15"/>
  <c r="G15"/>
  <c r="E15"/>
  <c r="I14"/>
  <c r="G14"/>
  <c r="E14"/>
  <c r="I13"/>
  <c r="G13"/>
  <c r="E13"/>
  <c r="I12"/>
  <c r="G12"/>
  <c r="E12"/>
  <c r="I11"/>
  <c r="G11"/>
  <c r="E11"/>
  <c r="I10"/>
  <c r="G10"/>
  <c r="E10"/>
  <c r="I9"/>
  <c r="G9"/>
  <c r="E9"/>
  <c r="I8"/>
  <c r="Q80" s="1"/>
  <c r="Q81" s="1"/>
  <c r="Q83" s="1"/>
  <c r="G8"/>
  <c r="E8"/>
  <c r="Q70" s="1"/>
  <c r="I7"/>
  <c r="G7"/>
  <c r="E7"/>
  <c r="I6"/>
  <c r="G6"/>
  <c r="E6"/>
  <c r="I5"/>
  <c r="G5"/>
  <c r="E5"/>
  <c r="I4"/>
  <c r="G4"/>
  <c r="E4"/>
  <c r="I3"/>
  <c r="G3"/>
  <c r="E3"/>
  <c r="I2"/>
  <c r="G2"/>
  <c r="K2" s="1"/>
  <c r="E2"/>
  <c r="J61"/>
  <c r="H61"/>
  <c r="F61"/>
  <c r="J60"/>
  <c r="H60"/>
  <c r="F60"/>
  <c r="J59"/>
  <c r="H59"/>
  <c r="F59"/>
  <c r="J58"/>
  <c r="H58"/>
  <c r="F58"/>
  <c r="J57"/>
  <c r="H57"/>
  <c r="F57"/>
  <c r="J56"/>
  <c r="H56"/>
  <c r="F56"/>
  <c r="J55"/>
  <c r="H55"/>
  <c r="F55"/>
  <c r="J54"/>
  <c r="H54"/>
  <c r="F54"/>
  <c r="J53"/>
  <c r="H53"/>
  <c r="F53"/>
  <c r="J52"/>
  <c r="H52"/>
  <c r="F52"/>
  <c r="J51"/>
  <c r="H51"/>
  <c r="F51"/>
  <c r="J50"/>
  <c r="H50"/>
  <c r="F50"/>
  <c r="J49"/>
  <c r="H49"/>
  <c r="F49"/>
  <c r="J48"/>
  <c r="H48"/>
  <c r="F48"/>
  <c r="J47"/>
  <c r="H47"/>
  <c r="F47"/>
  <c r="J46"/>
  <c r="H46"/>
  <c r="F46"/>
  <c r="J45"/>
  <c r="H45"/>
  <c r="F45"/>
  <c r="J44"/>
  <c r="H44"/>
  <c r="F44"/>
  <c r="J43"/>
  <c r="H43"/>
  <c r="F43"/>
  <c r="J42"/>
  <c r="H42"/>
  <c r="F42"/>
  <c r="J41"/>
  <c r="H41"/>
  <c r="F41"/>
  <c r="J40"/>
  <c r="H40"/>
  <c r="F40"/>
  <c r="J39"/>
  <c r="H39"/>
  <c r="F39"/>
  <c r="J38"/>
  <c r="H38"/>
  <c r="F38"/>
  <c r="J37"/>
  <c r="H37"/>
  <c r="F37"/>
  <c r="J36"/>
  <c r="H36"/>
  <c r="F36"/>
  <c r="J35"/>
  <c r="H35"/>
  <c r="F35"/>
  <c r="J34"/>
  <c r="H34"/>
  <c r="F34"/>
  <c r="J33"/>
  <c r="H33"/>
  <c r="F33"/>
  <c r="J32"/>
  <c r="H32"/>
  <c r="F32"/>
  <c r="J31"/>
  <c r="H31"/>
  <c r="F31"/>
  <c r="J30"/>
  <c r="H30"/>
  <c r="F30"/>
  <c r="J29"/>
  <c r="H29"/>
  <c r="F29"/>
  <c r="J28"/>
  <c r="H28"/>
  <c r="F28"/>
  <c r="J27"/>
  <c r="H27"/>
  <c r="F27"/>
  <c r="J26"/>
  <c r="H26"/>
  <c r="F26"/>
  <c r="J25"/>
  <c r="H25"/>
  <c r="F25"/>
  <c r="J24"/>
  <c r="H24"/>
  <c r="F24"/>
  <c r="J23"/>
  <c r="H23"/>
  <c r="F23"/>
  <c r="J22"/>
  <c r="H22"/>
  <c r="F22"/>
  <c r="J21"/>
  <c r="H21"/>
  <c r="F21"/>
  <c r="J20"/>
  <c r="H20"/>
  <c r="F20"/>
  <c r="J19"/>
  <c r="H19"/>
  <c r="F19"/>
  <c r="J18"/>
  <c r="H18"/>
  <c r="F18"/>
  <c r="J17"/>
  <c r="H17"/>
  <c r="F17"/>
  <c r="J16"/>
  <c r="H16"/>
  <c r="F16"/>
  <c r="J15"/>
  <c r="H15"/>
  <c r="F15"/>
  <c r="J14"/>
  <c r="H14"/>
  <c r="F14"/>
  <c r="J13"/>
  <c r="H13"/>
  <c r="F13"/>
  <c r="J12"/>
  <c r="H12"/>
  <c r="F12"/>
  <c r="J11"/>
  <c r="H11"/>
  <c r="F11"/>
  <c r="J10"/>
  <c r="H10"/>
  <c r="F10"/>
  <c r="J9"/>
  <c r="H9"/>
  <c r="F9"/>
  <c r="J8"/>
  <c r="Q71" s="1"/>
  <c r="Q73" s="1"/>
  <c r="Q86" s="1"/>
  <c r="H8"/>
  <c r="F8"/>
  <c r="J7"/>
  <c r="H7"/>
  <c r="F7"/>
  <c r="J6"/>
  <c r="H6"/>
  <c r="F6"/>
  <c r="J5"/>
  <c r="H5"/>
  <c r="F5"/>
  <c r="J4"/>
  <c r="H4"/>
  <c r="F4"/>
  <c r="J3"/>
  <c r="H3"/>
  <c r="F3"/>
  <c r="J2"/>
  <c r="H2"/>
  <c r="F2"/>
  <c r="M2" s="1"/>
  <c r="N2" s="1"/>
  <c r="J23" i="73"/>
  <c r="J22"/>
  <c r="O26"/>
  <c r="O18"/>
  <c r="AZ30" i="70"/>
  <c r="AZ29"/>
  <c r="AZ28"/>
  <c r="AZ27"/>
  <c r="AZ26"/>
  <c r="AZ25"/>
  <c r="AZ24"/>
  <c r="AZ23"/>
  <c r="AZ22"/>
  <c r="AZ21"/>
  <c r="AZ20"/>
  <c r="AZ19"/>
  <c r="AZ18"/>
  <c r="AZ17"/>
  <c r="AZ16"/>
  <c r="AZ15"/>
  <c r="AZ14"/>
  <c r="AZ13"/>
  <c r="AZ12"/>
  <c r="AZ11"/>
  <c r="AZ10"/>
  <c r="AZ9"/>
  <c r="AH36"/>
  <c r="AW30"/>
  <c r="AW29"/>
  <c r="AW28"/>
  <c r="AW27"/>
  <c r="AW26"/>
  <c r="AW25"/>
  <c r="AW24"/>
  <c r="AW23"/>
  <c r="AW22"/>
  <c r="AW21"/>
  <c r="AW20"/>
  <c r="AW19"/>
  <c r="AW18"/>
  <c r="AW17"/>
  <c r="AW16"/>
  <c r="AW15"/>
  <c r="AW14"/>
  <c r="AW13"/>
  <c r="AW12"/>
  <c r="AW11"/>
  <c r="AT11"/>
  <c r="AT12" s="1"/>
  <c r="AT13" s="1"/>
  <c r="AT14" s="1"/>
  <c r="AT15" s="1"/>
  <c r="AT16" s="1"/>
  <c r="AT17" s="1"/>
  <c r="AT18" s="1"/>
  <c r="AT19" s="1"/>
  <c r="AT20" s="1"/>
  <c r="AT21" s="1"/>
  <c r="AT22" s="1"/>
  <c r="AT23" s="1"/>
  <c r="AT24" s="1"/>
  <c r="AT25" s="1"/>
  <c r="AT26" s="1"/>
  <c r="AT27" s="1"/>
  <c r="AT28" s="1"/>
  <c r="AT29" s="1"/>
  <c r="AT30" s="1"/>
  <c r="AW10"/>
  <c r="AW9"/>
  <c r="AU7"/>
  <c r="AO29"/>
  <c r="AL11"/>
  <c r="AL12" s="1"/>
  <c r="AL13" s="1"/>
  <c r="AL14" s="1"/>
  <c r="AL15" s="1"/>
  <c r="AL16" s="1"/>
  <c r="AL17" s="1"/>
  <c r="AL18" s="1"/>
  <c r="AL19" s="1"/>
  <c r="AL20" s="1"/>
  <c r="AL21" s="1"/>
  <c r="AL22" s="1"/>
  <c r="AL23" s="1"/>
  <c r="AL24" s="1"/>
  <c r="AL25" s="1"/>
  <c r="AL26" s="1"/>
  <c r="AL27" s="1"/>
  <c r="AL28" s="1"/>
  <c r="AL29" s="1"/>
  <c r="AL30" s="1"/>
  <c r="AM7"/>
  <c r="AE7"/>
  <c r="BH40"/>
  <c r="BH41" s="1"/>
  <c r="BH42" s="1"/>
  <c r="BH43" s="1"/>
  <c r="BH44" s="1"/>
  <c r="BH45" s="1"/>
  <c r="BH46" s="1"/>
  <c r="BH47" s="1"/>
  <c r="BH48" s="1"/>
  <c r="BH49" s="1"/>
  <c r="BH50" s="1"/>
  <c r="BH51" s="1"/>
  <c r="BH52" s="1"/>
  <c r="BH53" s="1"/>
  <c r="BH54" s="1"/>
  <c r="BH55" s="1"/>
  <c r="BH56" s="1"/>
  <c r="BH57" s="1"/>
  <c r="BH58" s="1"/>
  <c r="BH59" s="1"/>
  <c r="AG30"/>
  <c r="AG29"/>
  <c r="AG28"/>
  <c r="AG27"/>
  <c r="AG26"/>
  <c r="AG25"/>
  <c r="AG24"/>
  <c r="AG23"/>
  <c r="AG22"/>
  <c r="AG21"/>
  <c r="AG20"/>
  <c r="AG19"/>
  <c r="AG18"/>
  <c r="AG17"/>
  <c r="AG16"/>
  <c r="AG15"/>
  <c r="AG14"/>
  <c r="AG13"/>
  <c r="AG12"/>
  <c r="AG11"/>
  <c r="AD11"/>
  <c r="AD12" s="1"/>
  <c r="AD13" s="1"/>
  <c r="AD14" s="1"/>
  <c r="AD15" s="1"/>
  <c r="AD16" s="1"/>
  <c r="AD17" s="1"/>
  <c r="AD18" s="1"/>
  <c r="AD19" s="1"/>
  <c r="AD20" s="1"/>
  <c r="AD21" s="1"/>
  <c r="AD22" s="1"/>
  <c r="AD23" s="1"/>
  <c r="AD24" s="1"/>
  <c r="AD25" s="1"/>
  <c r="AD26" s="1"/>
  <c r="AD27" s="1"/>
  <c r="AD28" s="1"/>
  <c r="AD29" s="1"/>
  <c r="AD30" s="1"/>
  <c r="AG10"/>
  <c r="C3"/>
  <c r="B3" s="1"/>
  <c r="AG96" l="1"/>
  <c r="L2"/>
  <c r="O2" s="1"/>
  <c r="N62"/>
  <c r="O62" s="1"/>
  <c r="AG7"/>
  <c r="AK7" s="1"/>
  <c r="Q28" s="1"/>
  <c r="N63"/>
  <c r="L63"/>
  <c r="Q89"/>
  <c r="AW7"/>
  <c r="AR7"/>
  <c r="AZ7"/>
  <c r="AO7"/>
  <c r="C4"/>
  <c r="B4" s="1"/>
  <c r="T89" l="1"/>
  <c r="R89"/>
  <c r="O63"/>
  <c r="BA7"/>
  <c r="U28" s="1"/>
  <c r="AS7"/>
  <c r="S28" s="1"/>
  <c r="Q44" s="1"/>
  <c r="C5"/>
  <c r="B5" s="1"/>
  <c r="T97" i="73" l="1"/>
  <c r="W28" i="70"/>
  <c r="Q54" s="1"/>
  <c r="C6"/>
  <c r="B6" s="1"/>
  <c r="C7" l="1"/>
  <c r="B7" s="1"/>
  <c r="C8" l="1"/>
  <c r="B8" s="1"/>
  <c r="C9" l="1"/>
  <c r="B9" s="1"/>
  <c r="C10" l="1"/>
  <c r="B10" s="1"/>
  <c r="C11" l="1"/>
  <c r="B11" s="1"/>
  <c r="C12" l="1"/>
  <c r="B12" s="1"/>
  <c r="S594" i="68"/>
  <c r="R594"/>
  <c r="Q594"/>
  <c r="P594"/>
  <c r="O594"/>
  <c r="N594"/>
  <c r="M594"/>
  <c r="L594"/>
  <c r="K594"/>
  <c r="J594"/>
  <c r="I594"/>
  <c r="H594"/>
  <c r="G594"/>
  <c r="F594"/>
  <c r="E594"/>
  <c r="D594"/>
  <c r="S593"/>
  <c r="R593"/>
  <c r="Q593"/>
  <c r="P593"/>
  <c r="O593"/>
  <c r="N593"/>
  <c r="M593"/>
  <c r="L593"/>
  <c r="K593"/>
  <c r="J593"/>
  <c r="I593"/>
  <c r="H593"/>
  <c r="G593"/>
  <c r="F593"/>
  <c r="E593"/>
  <c r="D593"/>
  <c r="S592"/>
  <c r="R592"/>
  <c r="Q592"/>
  <c r="P592"/>
  <c r="O592"/>
  <c r="N592"/>
  <c r="M592"/>
  <c r="L592"/>
  <c r="K592"/>
  <c r="J592"/>
  <c r="I592"/>
  <c r="H592"/>
  <c r="G592"/>
  <c r="F592"/>
  <c r="E592"/>
  <c r="D592"/>
  <c r="S591"/>
  <c r="R591"/>
  <c r="Q591"/>
  <c r="P591"/>
  <c r="O591"/>
  <c r="N591"/>
  <c r="M591"/>
  <c r="L591"/>
  <c r="K591"/>
  <c r="J591"/>
  <c r="I591"/>
  <c r="H591"/>
  <c r="G591"/>
  <c r="F591"/>
  <c r="E591"/>
  <c r="D591"/>
  <c r="S590"/>
  <c r="R590"/>
  <c r="Q590"/>
  <c r="P590"/>
  <c r="O590"/>
  <c r="N590"/>
  <c r="M590"/>
  <c r="L590"/>
  <c r="K590"/>
  <c r="J590"/>
  <c r="I590"/>
  <c r="H590"/>
  <c r="G590"/>
  <c r="F590"/>
  <c r="E590"/>
  <c r="D590"/>
  <c r="S589"/>
  <c r="R589"/>
  <c r="Q589"/>
  <c r="P589"/>
  <c r="O589"/>
  <c r="N589"/>
  <c r="M589"/>
  <c r="L589"/>
  <c r="K589"/>
  <c r="J589"/>
  <c r="I589"/>
  <c r="H589"/>
  <c r="G589"/>
  <c r="F589"/>
  <c r="E589"/>
  <c r="D589"/>
  <c r="S588"/>
  <c r="R588"/>
  <c r="Q588"/>
  <c r="P588"/>
  <c r="O588"/>
  <c r="N588"/>
  <c r="M588"/>
  <c r="L588"/>
  <c r="K588"/>
  <c r="J588"/>
  <c r="I588"/>
  <c r="H588"/>
  <c r="G588"/>
  <c r="F588"/>
  <c r="E588"/>
  <c r="D588"/>
  <c r="S587"/>
  <c r="R587"/>
  <c r="Q587"/>
  <c r="P587"/>
  <c r="O587"/>
  <c r="N587"/>
  <c r="M587"/>
  <c r="L587"/>
  <c r="K587"/>
  <c r="J587"/>
  <c r="I587"/>
  <c r="H587"/>
  <c r="G587"/>
  <c r="F587"/>
  <c r="E587"/>
  <c r="D587"/>
  <c r="S586"/>
  <c r="R586"/>
  <c r="Q586"/>
  <c r="P586"/>
  <c r="O586"/>
  <c r="N586"/>
  <c r="M586"/>
  <c r="L586"/>
  <c r="K586"/>
  <c r="J586"/>
  <c r="I586"/>
  <c r="H586"/>
  <c r="G586"/>
  <c r="F586"/>
  <c r="E586"/>
  <c r="D586"/>
  <c r="S585"/>
  <c r="R585"/>
  <c r="Q585"/>
  <c r="P585"/>
  <c r="O585"/>
  <c r="N585"/>
  <c r="M585"/>
  <c r="L585"/>
  <c r="K585"/>
  <c r="J585"/>
  <c r="I585"/>
  <c r="H585"/>
  <c r="G585"/>
  <c r="F585"/>
  <c r="E585"/>
  <c r="D585"/>
  <c r="S584"/>
  <c r="R584"/>
  <c r="Q584"/>
  <c r="P584"/>
  <c r="O584"/>
  <c r="N584"/>
  <c r="M584"/>
  <c r="L584"/>
  <c r="K584"/>
  <c r="J584"/>
  <c r="I584"/>
  <c r="H584"/>
  <c r="G584"/>
  <c r="F584"/>
  <c r="E584"/>
  <c r="D584"/>
  <c r="S583"/>
  <c r="R583"/>
  <c r="Q583"/>
  <c r="P583"/>
  <c r="O583"/>
  <c r="N583"/>
  <c r="M583"/>
  <c r="L583"/>
  <c r="K583"/>
  <c r="J583"/>
  <c r="I583"/>
  <c r="H583"/>
  <c r="G583"/>
  <c r="F583"/>
  <c r="E583"/>
  <c r="D583"/>
  <c r="S582"/>
  <c r="R582"/>
  <c r="Q582"/>
  <c r="P582"/>
  <c r="O582"/>
  <c r="N582"/>
  <c r="M582"/>
  <c r="L582"/>
  <c r="K582"/>
  <c r="J582"/>
  <c r="I582"/>
  <c r="H582"/>
  <c r="G582"/>
  <c r="F582"/>
  <c r="E582"/>
  <c r="D582"/>
  <c r="S581"/>
  <c r="R581"/>
  <c r="Q581"/>
  <c r="P581"/>
  <c r="O581"/>
  <c r="N581"/>
  <c r="M581"/>
  <c r="L581"/>
  <c r="K581"/>
  <c r="J581"/>
  <c r="I581"/>
  <c r="H581"/>
  <c r="G581"/>
  <c r="F581"/>
  <c r="E581"/>
  <c r="D581"/>
  <c r="S580"/>
  <c r="R580"/>
  <c r="Q580"/>
  <c r="P580"/>
  <c r="O580"/>
  <c r="N580"/>
  <c r="M580"/>
  <c r="L580"/>
  <c r="K580"/>
  <c r="J580"/>
  <c r="I580"/>
  <c r="H580"/>
  <c r="G580"/>
  <c r="F580"/>
  <c r="E580"/>
  <c r="D580"/>
  <c r="S579"/>
  <c r="R579"/>
  <c r="Q579"/>
  <c r="P579"/>
  <c r="O579"/>
  <c r="N579"/>
  <c r="M579"/>
  <c r="L579"/>
  <c r="K579"/>
  <c r="J579"/>
  <c r="I579"/>
  <c r="H579"/>
  <c r="G579"/>
  <c r="F579"/>
  <c r="E579"/>
  <c r="D579"/>
  <c r="S578"/>
  <c r="R578"/>
  <c r="Q578"/>
  <c r="P578"/>
  <c r="O578"/>
  <c r="N578"/>
  <c r="M578"/>
  <c r="L578"/>
  <c r="K578"/>
  <c r="J578"/>
  <c r="I578"/>
  <c r="H578"/>
  <c r="G578"/>
  <c r="F578"/>
  <c r="E578"/>
  <c r="D578"/>
  <c r="S577"/>
  <c r="R577"/>
  <c r="Q577"/>
  <c r="P577"/>
  <c r="O577"/>
  <c r="N577"/>
  <c r="M577"/>
  <c r="L577"/>
  <c r="K577"/>
  <c r="J577"/>
  <c r="I577"/>
  <c r="H577"/>
  <c r="G577"/>
  <c r="F577"/>
  <c r="E577"/>
  <c r="D577"/>
  <c r="S576"/>
  <c r="R576"/>
  <c r="Q576"/>
  <c r="P576"/>
  <c r="O576"/>
  <c r="N576"/>
  <c r="M576"/>
  <c r="L576"/>
  <c r="K576"/>
  <c r="J576"/>
  <c r="I576"/>
  <c r="H576"/>
  <c r="G576"/>
  <c r="F576"/>
  <c r="E576"/>
  <c r="D576"/>
  <c r="S575"/>
  <c r="R575"/>
  <c r="Q575"/>
  <c r="P575"/>
  <c r="O575"/>
  <c r="N575"/>
  <c r="M575"/>
  <c r="L575"/>
  <c r="K575"/>
  <c r="J575"/>
  <c r="I575"/>
  <c r="H575"/>
  <c r="G575"/>
  <c r="F575"/>
  <c r="E575"/>
  <c r="D575"/>
  <c r="S574"/>
  <c r="R574"/>
  <c r="Q574"/>
  <c r="P574"/>
  <c r="O574"/>
  <c r="N574"/>
  <c r="M574"/>
  <c r="L574"/>
  <c r="K574"/>
  <c r="J574"/>
  <c r="I574"/>
  <c r="H574"/>
  <c r="G574"/>
  <c r="F574"/>
  <c r="E574"/>
  <c r="D574"/>
  <c r="S568"/>
  <c r="R568"/>
  <c r="Q568"/>
  <c r="P568"/>
  <c r="O568"/>
  <c r="N568"/>
  <c r="M568"/>
  <c r="L568"/>
  <c r="K568"/>
  <c r="J568"/>
  <c r="I568"/>
  <c r="H568"/>
  <c r="G568"/>
  <c r="X568" s="1"/>
  <c r="F568"/>
  <c r="E568"/>
  <c r="D568"/>
  <c r="Y567"/>
  <c r="X567"/>
  <c r="W567"/>
  <c r="U567"/>
  <c r="T567"/>
  <c r="Y566"/>
  <c r="X566"/>
  <c r="W566"/>
  <c r="U566"/>
  <c r="T566"/>
  <c r="Y565"/>
  <c r="X565"/>
  <c r="W565"/>
  <c r="U565"/>
  <c r="T565"/>
  <c r="Y564"/>
  <c r="X564"/>
  <c r="W564"/>
  <c r="U564"/>
  <c r="T564"/>
  <c r="Y563"/>
  <c r="X563"/>
  <c r="W563"/>
  <c r="U563"/>
  <c r="T563"/>
  <c r="Y562"/>
  <c r="X562"/>
  <c r="W562"/>
  <c r="U562"/>
  <c r="T562"/>
  <c r="Y561"/>
  <c r="X561"/>
  <c r="W561"/>
  <c r="U561"/>
  <c r="T561"/>
  <c r="Y560"/>
  <c r="X560"/>
  <c r="W560"/>
  <c r="U560"/>
  <c r="T560"/>
  <c r="Y559"/>
  <c r="X559"/>
  <c r="W559"/>
  <c r="U559"/>
  <c r="T559"/>
  <c r="Y558"/>
  <c r="X558"/>
  <c r="W558"/>
  <c r="U558"/>
  <c r="T558"/>
  <c r="Y557"/>
  <c r="X557"/>
  <c r="W557"/>
  <c r="U557"/>
  <c r="T557"/>
  <c r="Y556"/>
  <c r="X556"/>
  <c r="W556"/>
  <c r="U556"/>
  <c r="T556"/>
  <c r="Y555"/>
  <c r="X555"/>
  <c r="W555"/>
  <c r="U555"/>
  <c r="T555"/>
  <c r="Y554"/>
  <c r="X554"/>
  <c r="W554"/>
  <c r="U554"/>
  <c r="T554"/>
  <c r="Y553"/>
  <c r="X553"/>
  <c r="W553"/>
  <c r="U553"/>
  <c r="T553"/>
  <c r="Y552"/>
  <c r="X552"/>
  <c r="W552"/>
  <c r="U552"/>
  <c r="T552"/>
  <c r="Y551"/>
  <c r="X551"/>
  <c r="W551"/>
  <c r="U551"/>
  <c r="T551"/>
  <c r="Y550"/>
  <c r="X550"/>
  <c r="W550"/>
  <c r="U550"/>
  <c r="T550"/>
  <c r="Y549"/>
  <c r="X549"/>
  <c r="W549"/>
  <c r="U549"/>
  <c r="T549"/>
  <c r="Y548"/>
  <c r="X548"/>
  <c r="W548"/>
  <c r="U548"/>
  <c r="T548"/>
  <c r="Y547"/>
  <c r="X547"/>
  <c r="W547"/>
  <c r="U547"/>
  <c r="T547"/>
  <c r="Y546"/>
  <c r="X546"/>
  <c r="W546"/>
  <c r="U546"/>
  <c r="T546"/>
  <c r="Y545"/>
  <c r="X545"/>
  <c r="W545"/>
  <c r="U545"/>
  <c r="T545"/>
  <c r="Y544"/>
  <c r="X544"/>
  <c r="W544"/>
  <c r="U544"/>
  <c r="T544"/>
  <c r="Y543"/>
  <c r="X543"/>
  <c r="W543"/>
  <c r="U543"/>
  <c r="T543"/>
  <c r="Y542"/>
  <c r="X542"/>
  <c r="W542"/>
  <c r="U542"/>
  <c r="T542"/>
  <c r="Y541"/>
  <c r="X541"/>
  <c r="W541"/>
  <c r="U541"/>
  <c r="T541"/>
  <c r="Y540"/>
  <c r="X540"/>
  <c r="W540"/>
  <c r="U540"/>
  <c r="T540"/>
  <c r="Y539"/>
  <c r="X539"/>
  <c r="W539"/>
  <c r="U539"/>
  <c r="T539"/>
  <c r="Y538"/>
  <c r="X538"/>
  <c r="W538"/>
  <c r="U538"/>
  <c r="T538"/>
  <c r="Y537"/>
  <c r="X537"/>
  <c r="W537"/>
  <c r="U537"/>
  <c r="T537"/>
  <c r="Y536"/>
  <c r="X536"/>
  <c r="W536"/>
  <c r="U536"/>
  <c r="T536"/>
  <c r="Y535"/>
  <c r="X535"/>
  <c r="W535"/>
  <c r="U535"/>
  <c r="T535"/>
  <c r="Y534"/>
  <c r="X534"/>
  <c r="W534"/>
  <c r="U534"/>
  <c r="T534"/>
  <c r="Y533"/>
  <c r="X533"/>
  <c r="W533"/>
  <c r="U533"/>
  <c r="T533"/>
  <c r="Y532"/>
  <c r="X532"/>
  <c r="W532"/>
  <c r="U532"/>
  <c r="T532"/>
  <c r="Y531"/>
  <c r="X531"/>
  <c r="W531"/>
  <c r="U531"/>
  <c r="T531"/>
  <c r="Y530"/>
  <c r="X530"/>
  <c r="W530"/>
  <c r="U530"/>
  <c r="T530"/>
  <c r="Y529"/>
  <c r="X529"/>
  <c r="W529"/>
  <c r="U529"/>
  <c r="T529"/>
  <c r="Y528"/>
  <c r="X528"/>
  <c r="W528"/>
  <c r="U528"/>
  <c r="T528"/>
  <c r="Y527"/>
  <c r="X527"/>
  <c r="W527"/>
  <c r="U527"/>
  <c r="T527"/>
  <c r="Y526"/>
  <c r="X526"/>
  <c r="W526"/>
  <c r="U526"/>
  <c r="T526"/>
  <c r="Y525"/>
  <c r="X525"/>
  <c r="W525"/>
  <c r="U525"/>
  <c r="T525"/>
  <c r="Y524"/>
  <c r="X524"/>
  <c r="W524"/>
  <c r="U524"/>
  <c r="T524"/>
  <c r="Y523"/>
  <c r="X523"/>
  <c r="W523"/>
  <c r="U523"/>
  <c r="T523"/>
  <c r="Y522"/>
  <c r="X522"/>
  <c r="W522"/>
  <c r="U522"/>
  <c r="T522"/>
  <c r="Y521"/>
  <c r="X521"/>
  <c r="W521"/>
  <c r="U521"/>
  <c r="T521"/>
  <c r="Y520"/>
  <c r="X520"/>
  <c r="W520"/>
  <c r="U520"/>
  <c r="T520"/>
  <c r="Y519"/>
  <c r="X519"/>
  <c r="W519"/>
  <c r="U519"/>
  <c r="T519"/>
  <c r="Y518"/>
  <c r="X518"/>
  <c r="W518"/>
  <c r="U518"/>
  <c r="T518"/>
  <c r="Y517"/>
  <c r="X517"/>
  <c r="W517"/>
  <c r="U517"/>
  <c r="T517"/>
  <c r="Y516"/>
  <c r="X516"/>
  <c r="W516"/>
  <c r="U516"/>
  <c r="T516"/>
  <c r="Y515"/>
  <c r="X515"/>
  <c r="W515"/>
  <c r="U515"/>
  <c r="T515"/>
  <c r="Y514"/>
  <c r="X514"/>
  <c r="W514"/>
  <c r="U514"/>
  <c r="T514"/>
  <c r="Y513"/>
  <c r="X513"/>
  <c r="W513"/>
  <c r="U513"/>
  <c r="T513"/>
  <c r="Y512"/>
  <c r="X512"/>
  <c r="W512"/>
  <c r="U512"/>
  <c r="T512"/>
  <c r="Y511"/>
  <c r="X511"/>
  <c r="W511"/>
  <c r="U511"/>
  <c r="T511"/>
  <c r="Y510"/>
  <c r="X510"/>
  <c r="W510"/>
  <c r="U510"/>
  <c r="T510"/>
  <c r="Y509"/>
  <c r="X509"/>
  <c r="W509"/>
  <c r="U509"/>
  <c r="T509"/>
  <c r="Y508"/>
  <c r="X508"/>
  <c r="W508"/>
  <c r="U508"/>
  <c r="T508"/>
  <c r="Y507"/>
  <c r="X507"/>
  <c r="W507"/>
  <c r="U507"/>
  <c r="T507"/>
  <c r="Y506"/>
  <c r="X506"/>
  <c r="W506"/>
  <c r="U506"/>
  <c r="T506"/>
  <c r="Y505"/>
  <c r="X505"/>
  <c r="W505"/>
  <c r="U505"/>
  <c r="T505"/>
  <c r="Y504"/>
  <c r="X504"/>
  <c r="W504"/>
  <c r="U504"/>
  <c r="T504"/>
  <c r="Y503"/>
  <c r="X503"/>
  <c r="W503"/>
  <c r="U503"/>
  <c r="T503"/>
  <c r="Y502"/>
  <c r="X502"/>
  <c r="W502"/>
  <c r="U502"/>
  <c r="T502"/>
  <c r="Y501"/>
  <c r="X501"/>
  <c r="W501"/>
  <c r="U501"/>
  <c r="T501"/>
  <c r="Y500"/>
  <c r="X500"/>
  <c r="W500"/>
  <c r="U500"/>
  <c r="T500"/>
  <c r="Y499"/>
  <c r="X499"/>
  <c r="W499"/>
  <c r="U499"/>
  <c r="T499"/>
  <c r="Y498"/>
  <c r="X498"/>
  <c r="W498"/>
  <c r="U498"/>
  <c r="T498"/>
  <c r="Y497"/>
  <c r="X497"/>
  <c r="W497"/>
  <c r="U497"/>
  <c r="T497"/>
  <c r="Y496"/>
  <c r="X496"/>
  <c r="W496"/>
  <c r="U496"/>
  <c r="T496"/>
  <c r="Y495"/>
  <c r="X495"/>
  <c r="W495"/>
  <c r="U495"/>
  <c r="T495"/>
  <c r="Y494"/>
  <c r="X494"/>
  <c r="W494"/>
  <c r="U494"/>
  <c r="T494"/>
  <c r="Y493"/>
  <c r="X493"/>
  <c r="W493"/>
  <c r="U493"/>
  <c r="T493"/>
  <c r="Y492"/>
  <c r="X492"/>
  <c r="W492"/>
  <c r="U492"/>
  <c r="T492"/>
  <c r="Y491"/>
  <c r="X491"/>
  <c r="W491"/>
  <c r="U491"/>
  <c r="T491"/>
  <c r="Y490"/>
  <c r="X490"/>
  <c r="W490"/>
  <c r="U490"/>
  <c r="T490"/>
  <c r="Y489"/>
  <c r="X489"/>
  <c r="W489"/>
  <c r="U489"/>
  <c r="T489"/>
  <c r="Y488"/>
  <c r="X488"/>
  <c r="W488"/>
  <c r="U488"/>
  <c r="T488"/>
  <c r="Y487"/>
  <c r="X487"/>
  <c r="W487"/>
  <c r="U487"/>
  <c r="T487"/>
  <c r="Y486"/>
  <c r="X486"/>
  <c r="W486"/>
  <c r="U486"/>
  <c r="T486"/>
  <c r="Y485"/>
  <c r="X485"/>
  <c r="W485"/>
  <c r="U485"/>
  <c r="T485"/>
  <c r="Y484"/>
  <c r="X484"/>
  <c r="W484"/>
  <c r="U484"/>
  <c r="T484"/>
  <c r="Y483"/>
  <c r="X483"/>
  <c r="W483"/>
  <c r="U483"/>
  <c r="T483"/>
  <c r="Y482"/>
  <c r="X482"/>
  <c r="W482"/>
  <c r="U482"/>
  <c r="T482"/>
  <c r="Y481"/>
  <c r="X481"/>
  <c r="W481"/>
  <c r="U481"/>
  <c r="T481"/>
  <c r="Y480"/>
  <c r="X480"/>
  <c r="W480"/>
  <c r="U480"/>
  <c r="T480"/>
  <c r="Y479"/>
  <c r="X479"/>
  <c r="W479"/>
  <c r="U479"/>
  <c r="T479"/>
  <c r="Y478"/>
  <c r="X478"/>
  <c r="W478"/>
  <c r="U478"/>
  <c r="T478"/>
  <c r="Y477"/>
  <c r="X477"/>
  <c r="W477"/>
  <c r="U477"/>
  <c r="T477"/>
  <c r="Y476"/>
  <c r="X476"/>
  <c r="W476"/>
  <c r="U476"/>
  <c r="T476"/>
  <c r="Y475"/>
  <c r="X475"/>
  <c r="W475"/>
  <c r="U475"/>
  <c r="T475"/>
  <c r="Y474"/>
  <c r="X474"/>
  <c r="W474"/>
  <c r="U474"/>
  <c r="T474"/>
  <c r="Y473"/>
  <c r="X473"/>
  <c r="W473"/>
  <c r="U473"/>
  <c r="T473"/>
  <c r="Y472"/>
  <c r="X472"/>
  <c r="W472"/>
  <c r="U472"/>
  <c r="T472"/>
  <c r="Y471"/>
  <c r="X471"/>
  <c r="W471"/>
  <c r="U471"/>
  <c r="T471"/>
  <c r="Y470"/>
  <c r="X470"/>
  <c r="W470"/>
  <c r="U470"/>
  <c r="T470"/>
  <c r="Y469"/>
  <c r="X469"/>
  <c r="W469"/>
  <c r="U469"/>
  <c r="T469"/>
  <c r="Y468"/>
  <c r="X468"/>
  <c r="W468"/>
  <c r="U468"/>
  <c r="T468"/>
  <c r="Y467"/>
  <c r="X467"/>
  <c r="W467"/>
  <c r="U467"/>
  <c r="T467"/>
  <c r="Y466"/>
  <c r="X466"/>
  <c r="W466"/>
  <c r="U466"/>
  <c r="T466"/>
  <c r="Y465"/>
  <c r="X465"/>
  <c r="W465"/>
  <c r="U465"/>
  <c r="T465"/>
  <c r="Y464"/>
  <c r="X464"/>
  <c r="W464"/>
  <c r="U464"/>
  <c r="T464"/>
  <c r="Y463"/>
  <c r="X463"/>
  <c r="W463"/>
  <c r="U463"/>
  <c r="T463"/>
  <c r="Y462"/>
  <c r="X462"/>
  <c r="W462"/>
  <c r="U462"/>
  <c r="T462"/>
  <c r="Y461"/>
  <c r="X461"/>
  <c r="W461"/>
  <c r="U461"/>
  <c r="T461"/>
  <c r="Y460"/>
  <c r="X460"/>
  <c r="W460"/>
  <c r="U460"/>
  <c r="T460"/>
  <c r="Y459"/>
  <c r="X459"/>
  <c r="W459"/>
  <c r="U459"/>
  <c r="T459"/>
  <c r="Y458"/>
  <c r="X458"/>
  <c r="W458"/>
  <c r="U458"/>
  <c r="T458"/>
  <c r="Y457"/>
  <c r="X457"/>
  <c r="W457"/>
  <c r="U457"/>
  <c r="T457"/>
  <c r="Y456"/>
  <c r="X456"/>
  <c r="W456"/>
  <c r="U456"/>
  <c r="T456"/>
  <c r="Y455"/>
  <c r="X455"/>
  <c r="W455"/>
  <c r="U455"/>
  <c r="T455"/>
  <c r="Y454"/>
  <c r="X454"/>
  <c r="W454"/>
  <c r="U454"/>
  <c r="T454"/>
  <c r="Y453"/>
  <c r="X453"/>
  <c r="W453"/>
  <c r="U453"/>
  <c r="T453"/>
  <c r="Y452"/>
  <c r="X452"/>
  <c r="W452"/>
  <c r="U452"/>
  <c r="T452"/>
  <c r="Y451"/>
  <c r="X451"/>
  <c r="W451"/>
  <c r="U451"/>
  <c r="T451"/>
  <c r="Y450"/>
  <c r="X450"/>
  <c r="W450"/>
  <c r="U450"/>
  <c r="T450"/>
  <c r="Y449"/>
  <c r="X449"/>
  <c r="W449"/>
  <c r="U449"/>
  <c r="T449"/>
  <c r="Y448"/>
  <c r="X448"/>
  <c r="W448"/>
  <c r="U448"/>
  <c r="T448"/>
  <c r="Y447"/>
  <c r="X447"/>
  <c r="W447"/>
  <c r="U447"/>
  <c r="T447"/>
  <c r="Y446"/>
  <c r="X446"/>
  <c r="W446"/>
  <c r="U446"/>
  <c r="T446"/>
  <c r="Y445"/>
  <c r="X445"/>
  <c r="W445"/>
  <c r="U445"/>
  <c r="T445"/>
  <c r="Y444"/>
  <c r="X444"/>
  <c r="W444"/>
  <c r="U444"/>
  <c r="T444"/>
  <c r="Y443"/>
  <c r="X443"/>
  <c r="W443"/>
  <c r="U443"/>
  <c r="T443"/>
  <c r="Y442"/>
  <c r="X442"/>
  <c r="W442"/>
  <c r="U442"/>
  <c r="T442"/>
  <c r="Y441"/>
  <c r="X441"/>
  <c r="W441"/>
  <c r="U441"/>
  <c r="T441"/>
  <c r="Y440"/>
  <c r="X440"/>
  <c r="W440"/>
  <c r="U440"/>
  <c r="T440"/>
  <c r="Y439"/>
  <c r="X439"/>
  <c r="W439"/>
  <c r="U439"/>
  <c r="T439"/>
  <c r="Y438"/>
  <c r="X438"/>
  <c r="W438"/>
  <c r="U438"/>
  <c r="T438"/>
  <c r="Y437"/>
  <c r="X437"/>
  <c r="W437"/>
  <c r="U437"/>
  <c r="T437"/>
  <c r="Y436"/>
  <c r="X436"/>
  <c r="W436"/>
  <c r="U436"/>
  <c r="T436"/>
  <c r="Y435"/>
  <c r="X435"/>
  <c r="W435"/>
  <c r="U435"/>
  <c r="T435"/>
  <c r="Y434"/>
  <c r="X434"/>
  <c r="W434"/>
  <c r="U434"/>
  <c r="T434"/>
  <c r="Y433"/>
  <c r="X433"/>
  <c r="W433"/>
  <c r="U433"/>
  <c r="T433"/>
  <c r="Y432"/>
  <c r="X432"/>
  <c r="W432"/>
  <c r="U432"/>
  <c r="T432"/>
  <c r="Y431"/>
  <c r="X431"/>
  <c r="W431"/>
  <c r="U431"/>
  <c r="T431"/>
  <c r="Y430"/>
  <c r="X430"/>
  <c r="W430"/>
  <c r="U430"/>
  <c r="T430"/>
  <c r="Y429"/>
  <c r="X429"/>
  <c r="W429"/>
  <c r="U429"/>
  <c r="T429"/>
  <c r="Y428"/>
  <c r="X428"/>
  <c r="W428"/>
  <c r="U428"/>
  <c r="T428"/>
  <c r="Y427"/>
  <c r="X427"/>
  <c r="W427"/>
  <c r="U427"/>
  <c r="T427"/>
  <c r="Y426"/>
  <c r="X426"/>
  <c r="W426"/>
  <c r="U426"/>
  <c r="T426"/>
  <c r="Y425"/>
  <c r="X425"/>
  <c r="W425"/>
  <c r="U425"/>
  <c r="T425"/>
  <c r="Y424"/>
  <c r="X424"/>
  <c r="W424"/>
  <c r="U424"/>
  <c r="T424"/>
  <c r="Y423"/>
  <c r="X423"/>
  <c r="W423"/>
  <c r="U423"/>
  <c r="T423"/>
  <c r="Y422"/>
  <c r="X422"/>
  <c r="W422"/>
  <c r="U422"/>
  <c r="T422"/>
  <c r="Y421"/>
  <c r="X421"/>
  <c r="W421"/>
  <c r="U421"/>
  <c r="T421"/>
  <c r="Y420"/>
  <c r="X420"/>
  <c r="W420"/>
  <c r="U420"/>
  <c r="T420"/>
  <c r="Y419"/>
  <c r="X419"/>
  <c r="W419"/>
  <c r="U419"/>
  <c r="T419"/>
  <c r="Y418"/>
  <c r="X418"/>
  <c r="W418"/>
  <c r="U418"/>
  <c r="T418"/>
  <c r="Y417"/>
  <c r="X417"/>
  <c r="W417"/>
  <c r="U417"/>
  <c r="T417"/>
  <c r="Y416"/>
  <c r="X416"/>
  <c r="W416"/>
  <c r="U416"/>
  <c r="T416"/>
  <c r="Y415"/>
  <c r="X415"/>
  <c r="W415"/>
  <c r="U415"/>
  <c r="T415"/>
  <c r="Y414"/>
  <c r="X414"/>
  <c r="W414"/>
  <c r="U414"/>
  <c r="T414"/>
  <c r="Y413"/>
  <c r="X413"/>
  <c r="W413"/>
  <c r="U413"/>
  <c r="T413"/>
  <c r="Y412"/>
  <c r="X412"/>
  <c r="W412"/>
  <c r="U412"/>
  <c r="T412"/>
  <c r="Y411"/>
  <c r="X411"/>
  <c r="W411"/>
  <c r="U411"/>
  <c r="T411"/>
  <c r="Y410"/>
  <c r="X410"/>
  <c r="W410"/>
  <c r="U410"/>
  <c r="T410"/>
  <c r="Y409"/>
  <c r="X409"/>
  <c r="W409"/>
  <c r="U409"/>
  <c r="T409"/>
  <c r="Y408"/>
  <c r="X408"/>
  <c r="W408"/>
  <c r="U408"/>
  <c r="T408"/>
  <c r="Y407"/>
  <c r="X407"/>
  <c r="W407"/>
  <c r="U407"/>
  <c r="T407"/>
  <c r="Y406"/>
  <c r="X406"/>
  <c r="W406"/>
  <c r="U406"/>
  <c r="T406"/>
  <c r="Y405"/>
  <c r="X405"/>
  <c r="W405"/>
  <c r="U405"/>
  <c r="T405"/>
  <c r="Y404"/>
  <c r="X404"/>
  <c r="W404"/>
  <c r="U404"/>
  <c r="T404"/>
  <c r="Y403"/>
  <c r="X403"/>
  <c r="W403"/>
  <c r="U403"/>
  <c r="T403"/>
  <c r="Y402"/>
  <c r="X402"/>
  <c r="W402"/>
  <c r="U402"/>
  <c r="T402"/>
  <c r="Y401"/>
  <c r="X401"/>
  <c r="W401"/>
  <c r="U401"/>
  <c r="T401"/>
  <c r="Y400"/>
  <c r="X400"/>
  <c r="W400"/>
  <c r="U400"/>
  <c r="T400"/>
  <c r="Y399"/>
  <c r="X399"/>
  <c r="W399"/>
  <c r="U399"/>
  <c r="T399"/>
  <c r="Y398"/>
  <c r="X398"/>
  <c r="W398"/>
  <c r="U398"/>
  <c r="T398"/>
  <c r="Y397"/>
  <c r="X397"/>
  <c r="W397"/>
  <c r="U397"/>
  <c r="T397"/>
  <c r="Y396"/>
  <c r="X396"/>
  <c r="W396"/>
  <c r="U396"/>
  <c r="T396"/>
  <c r="Y395"/>
  <c r="X395"/>
  <c r="W395"/>
  <c r="U395"/>
  <c r="T395"/>
  <c r="Y394"/>
  <c r="X394"/>
  <c r="W394"/>
  <c r="U394"/>
  <c r="T394"/>
  <c r="Y393"/>
  <c r="X393"/>
  <c r="W393"/>
  <c r="U393"/>
  <c r="T393"/>
  <c r="Y392"/>
  <c r="X392"/>
  <c r="W392"/>
  <c r="U392"/>
  <c r="T392"/>
  <c r="Y391"/>
  <c r="X391"/>
  <c r="W391"/>
  <c r="U391"/>
  <c r="T391"/>
  <c r="Y390"/>
  <c r="X390"/>
  <c r="W390"/>
  <c r="U390"/>
  <c r="T390"/>
  <c r="Y389"/>
  <c r="X389"/>
  <c r="W389"/>
  <c r="U389"/>
  <c r="T389"/>
  <c r="Y388"/>
  <c r="X388"/>
  <c r="W388"/>
  <c r="U388"/>
  <c r="T388"/>
  <c r="Y387"/>
  <c r="X387"/>
  <c r="W387"/>
  <c r="U387"/>
  <c r="T387"/>
  <c r="Y386"/>
  <c r="X386"/>
  <c r="W386"/>
  <c r="U386"/>
  <c r="T386"/>
  <c r="Y385"/>
  <c r="X385"/>
  <c r="W385"/>
  <c r="U385"/>
  <c r="T385"/>
  <c r="Y384"/>
  <c r="X384"/>
  <c r="W384"/>
  <c r="U384"/>
  <c r="T384"/>
  <c r="Y383"/>
  <c r="X383"/>
  <c r="W383"/>
  <c r="U383"/>
  <c r="T383"/>
  <c r="Y382"/>
  <c r="X382"/>
  <c r="W382"/>
  <c r="U382"/>
  <c r="T382"/>
  <c r="Y381"/>
  <c r="X381"/>
  <c r="W381"/>
  <c r="U381"/>
  <c r="T381"/>
  <c r="Y380"/>
  <c r="X380"/>
  <c r="W380"/>
  <c r="U380"/>
  <c r="T380"/>
  <c r="Y379"/>
  <c r="X379"/>
  <c r="W379"/>
  <c r="U379"/>
  <c r="T379"/>
  <c r="Y378"/>
  <c r="X378"/>
  <c r="W378"/>
  <c r="U378"/>
  <c r="T378"/>
  <c r="Y377"/>
  <c r="X377"/>
  <c r="W377"/>
  <c r="U377"/>
  <c r="T377"/>
  <c r="Y376"/>
  <c r="X376"/>
  <c r="W376"/>
  <c r="U376"/>
  <c r="T376"/>
  <c r="Y375"/>
  <c r="X375"/>
  <c r="W375"/>
  <c r="U375"/>
  <c r="T375"/>
  <c r="Y374"/>
  <c r="X374"/>
  <c r="W374"/>
  <c r="U374"/>
  <c r="T374"/>
  <c r="Y373"/>
  <c r="X373"/>
  <c r="W373"/>
  <c r="U373"/>
  <c r="T373"/>
  <c r="Y372"/>
  <c r="X372"/>
  <c r="W372"/>
  <c r="U372"/>
  <c r="T372"/>
  <c r="Y371"/>
  <c r="X371"/>
  <c r="W371"/>
  <c r="U371"/>
  <c r="T371"/>
  <c r="Y370"/>
  <c r="X370"/>
  <c r="W370"/>
  <c r="U370"/>
  <c r="T370"/>
  <c r="Y369"/>
  <c r="X369"/>
  <c r="W369"/>
  <c r="U369"/>
  <c r="T369"/>
  <c r="Y368"/>
  <c r="X368"/>
  <c r="W368"/>
  <c r="U368"/>
  <c r="T368"/>
  <c r="Y367"/>
  <c r="X367"/>
  <c r="W367"/>
  <c r="U367"/>
  <c r="T367"/>
  <c r="Y366"/>
  <c r="X366"/>
  <c r="W366"/>
  <c r="U366"/>
  <c r="T366"/>
  <c r="Y365"/>
  <c r="X365"/>
  <c r="W365"/>
  <c r="U365"/>
  <c r="T365"/>
  <c r="Y364"/>
  <c r="X364"/>
  <c r="W364"/>
  <c r="U364"/>
  <c r="T364"/>
  <c r="Y363"/>
  <c r="X363"/>
  <c r="W363"/>
  <c r="U363"/>
  <c r="T363"/>
  <c r="Y362"/>
  <c r="X362"/>
  <c r="W362"/>
  <c r="U362"/>
  <c r="T362"/>
  <c r="Y361"/>
  <c r="X361"/>
  <c r="W361"/>
  <c r="U361"/>
  <c r="T361"/>
  <c r="Y360"/>
  <c r="X360"/>
  <c r="W360"/>
  <c r="U360"/>
  <c r="T360"/>
  <c r="Y359"/>
  <c r="X359"/>
  <c r="W359"/>
  <c r="U359"/>
  <c r="T359"/>
  <c r="Y358"/>
  <c r="X358"/>
  <c r="W358"/>
  <c r="U358"/>
  <c r="T358"/>
  <c r="Y357"/>
  <c r="X357"/>
  <c r="W357"/>
  <c r="U357"/>
  <c r="Z357" s="1"/>
  <c r="T357"/>
  <c r="Y356"/>
  <c r="X356"/>
  <c r="W356"/>
  <c r="U356"/>
  <c r="T356"/>
  <c r="Y355"/>
  <c r="X355"/>
  <c r="W355"/>
  <c r="U355"/>
  <c r="Z355" s="1"/>
  <c r="T355"/>
  <c r="Y354"/>
  <c r="X354"/>
  <c r="W354"/>
  <c r="U354"/>
  <c r="T354"/>
  <c r="Y353"/>
  <c r="X353"/>
  <c r="W353"/>
  <c r="U353"/>
  <c r="Z353" s="1"/>
  <c r="T353"/>
  <c r="Y352"/>
  <c r="X352"/>
  <c r="W352"/>
  <c r="U352"/>
  <c r="T352"/>
  <c r="Y351"/>
  <c r="X351"/>
  <c r="W351"/>
  <c r="U351"/>
  <c r="Z351" s="1"/>
  <c r="T351"/>
  <c r="Y350"/>
  <c r="X350"/>
  <c r="W350"/>
  <c r="U350"/>
  <c r="T350"/>
  <c r="Y349"/>
  <c r="X349"/>
  <c r="W349"/>
  <c r="U349"/>
  <c r="Z349" s="1"/>
  <c r="T349"/>
  <c r="Y348"/>
  <c r="X348"/>
  <c r="W348"/>
  <c r="U348"/>
  <c r="T348"/>
  <c r="Y347"/>
  <c r="X347"/>
  <c r="W347"/>
  <c r="U347"/>
  <c r="Z347" s="1"/>
  <c r="T347"/>
  <c r="Y346"/>
  <c r="X346"/>
  <c r="W346"/>
  <c r="U346"/>
  <c r="T346"/>
  <c r="Y345"/>
  <c r="X345"/>
  <c r="W345"/>
  <c r="U345"/>
  <c r="Z345" s="1"/>
  <c r="T345"/>
  <c r="Y344"/>
  <c r="X344"/>
  <c r="W344"/>
  <c r="U344"/>
  <c r="T344"/>
  <c r="Y343"/>
  <c r="X343"/>
  <c r="W343"/>
  <c r="U343"/>
  <c r="Z343" s="1"/>
  <c r="T343"/>
  <c r="Y342"/>
  <c r="X342"/>
  <c r="W342"/>
  <c r="U342"/>
  <c r="T342"/>
  <c r="Y341"/>
  <c r="X341"/>
  <c r="W341"/>
  <c r="U341"/>
  <c r="Z341" s="1"/>
  <c r="T341"/>
  <c r="Y340"/>
  <c r="X340"/>
  <c r="W340"/>
  <c r="U340"/>
  <c r="T340"/>
  <c r="Y339"/>
  <c r="X339"/>
  <c r="W339"/>
  <c r="U339"/>
  <c r="Z339" s="1"/>
  <c r="T339"/>
  <c r="Y338"/>
  <c r="X338"/>
  <c r="W338"/>
  <c r="U338"/>
  <c r="T338"/>
  <c r="Y337"/>
  <c r="X337"/>
  <c r="W337"/>
  <c r="U337"/>
  <c r="Z337" s="1"/>
  <c r="T337"/>
  <c r="Y336"/>
  <c r="X336"/>
  <c r="W336"/>
  <c r="U336"/>
  <c r="T336"/>
  <c r="Y335"/>
  <c r="X335"/>
  <c r="W335"/>
  <c r="U335"/>
  <c r="Z335" s="1"/>
  <c r="T335"/>
  <c r="Y334"/>
  <c r="X334"/>
  <c r="W334"/>
  <c r="U334"/>
  <c r="T334"/>
  <c r="Y333"/>
  <c r="X333"/>
  <c r="W333"/>
  <c r="U333"/>
  <c r="Z333" s="1"/>
  <c r="T333"/>
  <c r="Y332"/>
  <c r="X332"/>
  <c r="W332"/>
  <c r="U332"/>
  <c r="T332"/>
  <c r="Y331"/>
  <c r="X331"/>
  <c r="W331"/>
  <c r="U331"/>
  <c r="Z331" s="1"/>
  <c r="T331"/>
  <c r="Y330"/>
  <c r="X330"/>
  <c r="W330"/>
  <c r="U330"/>
  <c r="T330"/>
  <c r="Y329"/>
  <c r="X329"/>
  <c r="W329"/>
  <c r="U329"/>
  <c r="Z329" s="1"/>
  <c r="T329"/>
  <c r="Y328"/>
  <c r="X328"/>
  <c r="W328"/>
  <c r="U328"/>
  <c r="T328"/>
  <c r="Y327"/>
  <c r="X327"/>
  <c r="W327"/>
  <c r="U327"/>
  <c r="Z327" s="1"/>
  <c r="T327"/>
  <c r="Y326"/>
  <c r="X326"/>
  <c r="W326"/>
  <c r="U326"/>
  <c r="T326"/>
  <c r="Y325"/>
  <c r="X325"/>
  <c r="W325"/>
  <c r="U325"/>
  <c r="Z325" s="1"/>
  <c r="T325"/>
  <c r="Y324"/>
  <c r="X324"/>
  <c r="W324"/>
  <c r="U324"/>
  <c r="T324"/>
  <c r="Y323"/>
  <c r="X323"/>
  <c r="W323"/>
  <c r="U323"/>
  <c r="Z323" s="1"/>
  <c r="T323"/>
  <c r="Y322"/>
  <c r="X322"/>
  <c r="W322"/>
  <c r="U322"/>
  <c r="T322"/>
  <c r="Y321"/>
  <c r="X321"/>
  <c r="W321"/>
  <c r="U321"/>
  <c r="Z321" s="1"/>
  <c r="T321"/>
  <c r="Y320"/>
  <c r="X320"/>
  <c r="W320"/>
  <c r="U320"/>
  <c r="T320"/>
  <c r="Y319"/>
  <c r="X319"/>
  <c r="W319"/>
  <c r="U319"/>
  <c r="Z319" s="1"/>
  <c r="T319"/>
  <c r="Y318"/>
  <c r="X318"/>
  <c r="W318"/>
  <c r="U318"/>
  <c r="T318"/>
  <c r="Y317"/>
  <c r="X317"/>
  <c r="W317"/>
  <c r="U317"/>
  <c r="Z317" s="1"/>
  <c r="T317"/>
  <c r="Y316"/>
  <c r="X316"/>
  <c r="W316"/>
  <c r="U316"/>
  <c r="Z316" s="1"/>
  <c r="T316"/>
  <c r="Y315"/>
  <c r="X315"/>
  <c r="W315"/>
  <c r="U315"/>
  <c r="Z315" s="1"/>
  <c r="T315"/>
  <c r="Y314"/>
  <c r="X314"/>
  <c r="W314"/>
  <c r="U314"/>
  <c r="Z314" s="1"/>
  <c r="T314"/>
  <c r="Y313"/>
  <c r="X313"/>
  <c r="W313"/>
  <c r="U313"/>
  <c r="Z313" s="1"/>
  <c r="T313"/>
  <c r="Y312"/>
  <c r="X312"/>
  <c r="W312"/>
  <c r="U312"/>
  <c r="Z312" s="1"/>
  <c r="T312"/>
  <c r="Y311"/>
  <c r="X311"/>
  <c r="W311"/>
  <c r="U311"/>
  <c r="Z311" s="1"/>
  <c r="T311"/>
  <c r="Y310"/>
  <c r="X310"/>
  <c r="W310"/>
  <c r="U310"/>
  <c r="Z310" s="1"/>
  <c r="T310"/>
  <c r="Y309"/>
  <c r="X309"/>
  <c r="W309"/>
  <c r="U309"/>
  <c r="Z309" s="1"/>
  <c r="T309"/>
  <c r="Y308"/>
  <c r="X308"/>
  <c r="W308"/>
  <c r="U308"/>
  <c r="Z308" s="1"/>
  <c r="T308"/>
  <c r="Y307"/>
  <c r="X307"/>
  <c r="W307"/>
  <c r="U307"/>
  <c r="Z307" s="1"/>
  <c r="T307"/>
  <c r="Y306"/>
  <c r="X306"/>
  <c r="W306"/>
  <c r="U306"/>
  <c r="Z306" s="1"/>
  <c r="T306"/>
  <c r="Y305"/>
  <c r="X305"/>
  <c r="W305"/>
  <c r="U305"/>
  <c r="Z305" s="1"/>
  <c r="T305"/>
  <c r="Y304"/>
  <c r="X304"/>
  <c r="W304"/>
  <c r="U304"/>
  <c r="Z304" s="1"/>
  <c r="T304"/>
  <c r="Y303"/>
  <c r="X303"/>
  <c r="W303"/>
  <c r="U303"/>
  <c r="Z303" s="1"/>
  <c r="T303"/>
  <c r="Y302"/>
  <c r="X302"/>
  <c r="W302"/>
  <c r="U302"/>
  <c r="Z302" s="1"/>
  <c r="T302"/>
  <c r="Y301"/>
  <c r="X301"/>
  <c r="W301"/>
  <c r="U301"/>
  <c r="Z301" s="1"/>
  <c r="T301"/>
  <c r="Y300"/>
  <c r="X300"/>
  <c r="W300"/>
  <c r="U300"/>
  <c r="Z300" s="1"/>
  <c r="T300"/>
  <c r="Y299"/>
  <c r="X299"/>
  <c r="W299"/>
  <c r="U299"/>
  <c r="T299"/>
  <c r="Y298"/>
  <c r="X298"/>
  <c r="W298"/>
  <c r="U298"/>
  <c r="Z298" s="1"/>
  <c r="T298"/>
  <c r="Y297"/>
  <c r="X297"/>
  <c r="W297"/>
  <c r="U297"/>
  <c r="Z297" s="1"/>
  <c r="T297"/>
  <c r="Y296"/>
  <c r="X296"/>
  <c r="W296"/>
  <c r="U296"/>
  <c r="Z296" s="1"/>
  <c r="T296"/>
  <c r="Y295"/>
  <c r="X295"/>
  <c r="W295"/>
  <c r="U295"/>
  <c r="Z295" s="1"/>
  <c r="T295"/>
  <c r="Y294"/>
  <c r="X294"/>
  <c r="W294"/>
  <c r="U294"/>
  <c r="Z294" s="1"/>
  <c r="T294"/>
  <c r="Y293"/>
  <c r="X293"/>
  <c r="W293"/>
  <c r="U293"/>
  <c r="Z293" s="1"/>
  <c r="T293"/>
  <c r="Y292"/>
  <c r="X292"/>
  <c r="W292"/>
  <c r="U292"/>
  <c r="Z292" s="1"/>
  <c r="T292"/>
  <c r="Y291"/>
  <c r="X291"/>
  <c r="W291"/>
  <c r="U291"/>
  <c r="Z291" s="1"/>
  <c r="T291"/>
  <c r="Y290"/>
  <c r="X290"/>
  <c r="W290"/>
  <c r="U290"/>
  <c r="Z290" s="1"/>
  <c r="T290"/>
  <c r="Y289"/>
  <c r="X289"/>
  <c r="W289"/>
  <c r="U289"/>
  <c r="Z289" s="1"/>
  <c r="T289"/>
  <c r="Y288"/>
  <c r="X288"/>
  <c r="W288"/>
  <c r="U288"/>
  <c r="Z288" s="1"/>
  <c r="T288"/>
  <c r="Y287"/>
  <c r="X287"/>
  <c r="W287"/>
  <c r="U287"/>
  <c r="Z287" s="1"/>
  <c r="T287"/>
  <c r="Y286"/>
  <c r="X286"/>
  <c r="W286"/>
  <c r="U286"/>
  <c r="Z286" s="1"/>
  <c r="T286"/>
  <c r="Y285"/>
  <c r="X285"/>
  <c r="W285"/>
  <c r="U285"/>
  <c r="Z285" s="1"/>
  <c r="T285"/>
  <c r="Y284"/>
  <c r="X284"/>
  <c r="W284"/>
  <c r="U284"/>
  <c r="Z284" s="1"/>
  <c r="T284"/>
  <c r="Y283"/>
  <c r="X283"/>
  <c r="W283"/>
  <c r="U283"/>
  <c r="Z283" s="1"/>
  <c r="T283"/>
  <c r="Y282"/>
  <c r="X282"/>
  <c r="W282"/>
  <c r="U282"/>
  <c r="Z282" s="1"/>
  <c r="T282"/>
  <c r="Y281"/>
  <c r="X281"/>
  <c r="W281"/>
  <c r="U281"/>
  <c r="Z281" s="1"/>
  <c r="T281"/>
  <c r="Y280"/>
  <c r="X280"/>
  <c r="W280"/>
  <c r="U280"/>
  <c r="Z280" s="1"/>
  <c r="T280"/>
  <c r="Y279"/>
  <c r="X279"/>
  <c r="W279"/>
  <c r="U279"/>
  <c r="Z279" s="1"/>
  <c r="T279"/>
  <c r="Y278"/>
  <c r="X278"/>
  <c r="W278"/>
  <c r="U278"/>
  <c r="Z278" s="1"/>
  <c r="T278"/>
  <c r="Y277"/>
  <c r="X277"/>
  <c r="W277"/>
  <c r="U277"/>
  <c r="Z277" s="1"/>
  <c r="T277"/>
  <c r="Y276"/>
  <c r="X276"/>
  <c r="W276"/>
  <c r="U276"/>
  <c r="Z276" s="1"/>
  <c r="T276"/>
  <c r="Y275"/>
  <c r="X275"/>
  <c r="W275"/>
  <c r="U275"/>
  <c r="Z275" s="1"/>
  <c r="T275"/>
  <c r="Y274"/>
  <c r="X274"/>
  <c r="W274"/>
  <c r="U274"/>
  <c r="Z274" s="1"/>
  <c r="T274"/>
  <c r="Y273"/>
  <c r="X273"/>
  <c r="W273"/>
  <c r="U273"/>
  <c r="Z273" s="1"/>
  <c r="T273"/>
  <c r="Y272"/>
  <c r="X272"/>
  <c r="W272"/>
  <c r="U272"/>
  <c r="Z272" s="1"/>
  <c r="T272"/>
  <c r="Y271"/>
  <c r="X271"/>
  <c r="W271"/>
  <c r="U271"/>
  <c r="Z271" s="1"/>
  <c r="T271"/>
  <c r="Y270"/>
  <c r="X270"/>
  <c r="W270"/>
  <c r="U270"/>
  <c r="Z270" s="1"/>
  <c r="T270"/>
  <c r="Y269"/>
  <c r="X269"/>
  <c r="W269"/>
  <c r="U269"/>
  <c r="Z269" s="1"/>
  <c r="T269"/>
  <c r="Y268"/>
  <c r="X268"/>
  <c r="W268"/>
  <c r="U268"/>
  <c r="Z268" s="1"/>
  <c r="T268"/>
  <c r="Y267"/>
  <c r="X267"/>
  <c r="W267"/>
  <c r="U267"/>
  <c r="Z267" s="1"/>
  <c r="T267"/>
  <c r="Y266"/>
  <c r="X266"/>
  <c r="W266"/>
  <c r="U266"/>
  <c r="Z266" s="1"/>
  <c r="T266"/>
  <c r="Y265"/>
  <c r="X265"/>
  <c r="W265"/>
  <c r="U265"/>
  <c r="Z265" s="1"/>
  <c r="T265"/>
  <c r="Y264"/>
  <c r="X264"/>
  <c r="W264"/>
  <c r="U264"/>
  <c r="Z264" s="1"/>
  <c r="T264"/>
  <c r="Y263"/>
  <c r="X263"/>
  <c r="W263"/>
  <c r="U263"/>
  <c r="Z263" s="1"/>
  <c r="T263"/>
  <c r="Y262"/>
  <c r="X262"/>
  <c r="W262"/>
  <c r="U262"/>
  <c r="Z262" s="1"/>
  <c r="T262"/>
  <c r="Y261"/>
  <c r="X261"/>
  <c r="W261"/>
  <c r="U261"/>
  <c r="Z261" s="1"/>
  <c r="T261"/>
  <c r="Y260"/>
  <c r="X260"/>
  <c r="W260"/>
  <c r="U260"/>
  <c r="Z260" s="1"/>
  <c r="T260"/>
  <c r="Y259"/>
  <c r="X259"/>
  <c r="W259"/>
  <c r="U259"/>
  <c r="Z259" s="1"/>
  <c r="T259"/>
  <c r="Y258"/>
  <c r="X258"/>
  <c r="W258"/>
  <c r="U258"/>
  <c r="Z258" s="1"/>
  <c r="T258"/>
  <c r="Y257"/>
  <c r="X257"/>
  <c r="W257"/>
  <c r="U257"/>
  <c r="Z257" s="1"/>
  <c r="T257"/>
  <c r="Y256"/>
  <c r="X256"/>
  <c r="W256"/>
  <c r="U256"/>
  <c r="Z256" s="1"/>
  <c r="T256"/>
  <c r="Y255"/>
  <c r="X255"/>
  <c r="W255"/>
  <c r="U255"/>
  <c r="Z255" s="1"/>
  <c r="T255"/>
  <c r="Y254"/>
  <c r="X254"/>
  <c r="W254"/>
  <c r="U254"/>
  <c r="Z254" s="1"/>
  <c r="T254"/>
  <c r="Y253"/>
  <c r="X253"/>
  <c r="W253"/>
  <c r="U253"/>
  <c r="Z253" s="1"/>
  <c r="T253"/>
  <c r="Y252"/>
  <c r="X252"/>
  <c r="W252"/>
  <c r="U252"/>
  <c r="Z252" s="1"/>
  <c r="T252"/>
  <c r="Y251"/>
  <c r="X251"/>
  <c r="W251"/>
  <c r="U251"/>
  <c r="Z251" s="1"/>
  <c r="T251"/>
  <c r="Y250"/>
  <c r="X250"/>
  <c r="W250"/>
  <c r="U250"/>
  <c r="Z250" s="1"/>
  <c r="T250"/>
  <c r="Y249"/>
  <c r="X249"/>
  <c r="W249"/>
  <c r="U249"/>
  <c r="Z249" s="1"/>
  <c r="T249"/>
  <c r="Y248"/>
  <c r="X248"/>
  <c r="W248"/>
  <c r="U248"/>
  <c r="Z248" s="1"/>
  <c r="T248"/>
  <c r="Y247"/>
  <c r="X247"/>
  <c r="W247"/>
  <c r="U247"/>
  <c r="Z247" s="1"/>
  <c r="T247"/>
  <c r="Y246"/>
  <c r="X246"/>
  <c r="W246"/>
  <c r="U246"/>
  <c r="Z246" s="1"/>
  <c r="T246"/>
  <c r="Y245"/>
  <c r="X245"/>
  <c r="W245"/>
  <c r="U245"/>
  <c r="Z245" s="1"/>
  <c r="T245"/>
  <c r="Y244"/>
  <c r="X244"/>
  <c r="W244"/>
  <c r="U244"/>
  <c r="Z244" s="1"/>
  <c r="T244"/>
  <c r="Y243"/>
  <c r="X243"/>
  <c r="W243"/>
  <c r="U243"/>
  <c r="Z243" s="1"/>
  <c r="T243"/>
  <c r="Y242"/>
  <c r="X242"/>
  <c r="W242"/>
  <c r="U242"/>
  <c r="Z242" s="1"/>
  <c r="T242"/>
  <c r="Y241"/>
  <c r="X241"/>
  <c r="W241"/>
  <c r="U241"/>
  <c r="Z241" s="1"/>
  <c r="T241"/>
  <c r="Y240"/>
  <c r="X240"/>
  <c r="W240"/>
  <c r="U240"/>
  <c r="Z240" s="1"/>
  <c r="T240"/>
  <c r="Y239"/>
  <c r="X239"/>
  <c r="W239"/>
  <c r="U239"/>
  <c r="Z239" s="1"/>
  <c r="T239"/>
  <c r="Y238"/>
  <c r="X238"/>
  <c r="W238"/>
  <c r="U238"/>
  <c r="Z238" s="1"/>
  <c r="T238"/>
  <c r="Y237"/>
  <c r="X237"/>
  <c r="W237"/>
  <c r="U237"/>
  <c r="Z237" s="1"/>
  <c r="T237"/>
  <c r="Y236"/>
  <c r="X236"/>
  <c r="W236"/>
  <c r="U236"/>
  <c r="Z236" s="1"/>
  <c r="T236"/>
  <c r="Y235"/>
  <c r="X235"/>
  <c r="W235"/>
  <c r="U235"/>
  <c r="Z235" s="1"/>
  <c r="T235"/>
  <c r="Y234"/>
  <c r="X234"/>
  <c r="W234"/>
  <c r="U234"/>
  <c r="Z234" s="1"/>
  <c r="T234"/>
  <c r="Y233"/>
  <c r="X233"/>
  <c r="W233"/>
  <c r="U233"/>
  <c r="Z233" s="1"/>
  <c r="T233"/>
  <c r="Y232"/>
  <c r="X232"/>
  <c r="W232"/>
  <c r="U232"/>
  <c r="Z232" s="1"/>
  <c r="T232"/>
  <c r="Y231"/>
  <c r="X231"/>
  <c r="W231"/>
  <c r="U231"/>
  <c r="Z231" s="1"/>
  <c r="T231"/>
  <c r="Y230"/>
  <c r="X230"/>
  <c r="W230"/>
  <c r="U230"/>
  <c r="Z230" s="1"/>
  <c r="T230"/>
  <c r="Y229"/>
  <c r="X229"/>
  <c r="W229"/>
  <c r="U229"/>
  <c r="Z229" s="1"/>
  <c r="T229"/>
  <c r="Y228"/>
  <c r="X228"/>
  <c r="W228"/>
  <c r="U228"/>
  <c r="Z228" s="1"/>
  <c r="T228"/>
  <c r="Y227"/>
  <c r="X227"/>
  <c r="W227"/>
  <c r="U227"/>
  <c r="Z227" s="1"/>
  <c r="T227"/>
  <c r="Y226"/>
  <c r="X226"/>
  <c r="W226"/>
  <c r="U226"/>
  <c r="Z226" s="1"/>
  <c r="T226"/>
  <c r="Y225"/>
  <c r="X225"/>
  <c r="W225"/>
  <c r="U225"/>
  <c r="Z225" s="1"/>
  <c r="T225"/>
  <c r="Y224"/>
  <c r="X224"/>
  <c r="W224"/>
  <c r="U224"/>
  <c r="Z224" s="1"/>
  <c r="T224"/>
  <c r="Y223"/>
  <c r="X223"/>
  <c r="W223"/>
  <c r="U223"/>
  <c r="Z223" s="1"/>
  <c r="T223"/>
  <c r="Y222"/>
  <c r="X222"/>
  <c r="W222"/>
  <c r="U222"/>
  <c r="Z222" s="1"/>
  <c r="T222"/>
  <c r="Y221"/>
  <c r="X221"/>
  <c r="W221"/>
  <c r="U221"/>
  <c r="Z221" s="1"/>
  <c r="T221"/>
  <c r="Y220"/>
  <c r="X220"/>
  <c r="W220"/>
  <c r="U220"/>
  <c r="Z220" s="1"/>
  <c r="T220"/>
  <c r="Y219"/>
  <c r="X219"/>
  <c r="W219"/>
  <c r="U219"/>
  <c r="Z219" s="1"/>
  <c r="T219"/>
  <c r="Y218"/>
  <c r="X218"/>
  <c r="W218"/>
  <c r="U218"/>
  <c r="Z218" s="1"/>
  <c r="T218"/>
  <c r="Y217"/>
  <c r="X217"/>
  <c r="W217"/>
  <c r="U217"/>
  <c r="Z217" s="1"/>
  <c r="T217"/>
  <c r="Y216"/>
  <c r="X216"/>
  <c r="W216"/>
  <c r="U216"/>
  <c r="Z216" s="1"/>
  <c r="T216"/>
  <c r="Y215"/>
  <c r="X215"/>
  <c r="W215"/>
  <c r="U215"/>
  <c r="Z215" s="1"/>
  <c r="T215"/>
  <c r="Y214"/>
  <c r="X214"/>
  <c r="W214"/>
  <c r="U214"/>
  <c r="Z214" s="1"/>
  <c r="T214"/>
  <c r="Y213"/>
  <c r="X213"/>
  <c r="W213"/>
  <c r="U213"/>
  <c r="Z213" s="1"/>
  <c r="T213"/>
  <c r="Y212"/>
  <c r="X212"/>
  <c r="W212"/>
  <c r="U212"/>
  <c r="Z212" s="1"/>
  <c r="T212"/>
  <c r="Y211"/>
  <c r="X211"/>
  <c r="W211"/>
  <c r="U211"/>
  <c r="Z211" s="1"/>
  <c r="T211"/>
  <c r="Y210"/>
  <c r="X210"/>
  <c r="W210"/>
  <c r="U210"/>
  <c r="Z210" s="1"/>
  <c r="T210"/>
  <c r="Y209"/>
  <c r="X209"/>
  <c r="W209"/>
  <c r="U209"/>
  <c r="Z209" s="1"/>
  <c r="T209"/>
  <c r="Y208"/>
  <c r="X208"/>
  <c r="W208"/>
  <c r="U208"/>
  <c r="Z208" s="1"/>
  <c r="T208"/>
  <c r="Y207"/>
  <c r="X207"/>
  <c r="W207"/>
  <c r="U207"/>
  <c r="Z207" s="1"/>
  <c r="T207"/>
  <c r="Y206"/>
  <c r="X206"/>
  <c r="W206"/>
  <c r="U206"/>
  <c r="Z206" s="1"/>
  <c r="T206"/>
  <c r="Y205"/>
  <c r="X205"/>
  <c r="W205"/>
  <c r="U205"/>
  <c r="Z205" s="1"/>
  <c r="T205"/>
  <c r="Y204"/>
  <c r="X204"/>
  <c r="W204"/>
  <c r="U204"/>
  <c r="Z204" s="1"/>
  <c r="T204"/>
  <c r="Y203"/>
  <c r="X203"/>
  <c r="W203"/>
  <c r="U203"/>
  <c r="Z203" s="1"/>
  <c r="T203"/>
  <c r="Y202"/>
  <c r="X202"/>
  <c r="W202"/>
  <c r="U202"/>
  <c r="Z202" s="1"/>
  <c r="T202"/>
  <c r="Y201"/>
  <c r="X201"/>
  <c r="W201"/>
  <c r="U201"/>
  <c r="Z201" s="1"/>
  <c r="T201"/>
  <c r="Y200"/>
  <c r="X200"/>
  <c r="W200"/>
  <c r="U200"/>
  <c r="Z200" s="1"/>
  <c r="T200"/>
  <c r="Y199"/>
  <c r="X199"/>
  <c r="W199"/>
  <c r="U199"/>
  <c r="Z199" s="1"/>
  <c r="T199"/>
  <c r="Y198"/>
  <c r="X198"/>
  <c r="W198"/>
  <c r="U198"/>
  <c r="Z198" s="1"/>
  <c r="T198"/>
  <c r="Y197"/>
  <c r="X197"/>
  <c r="W197"/>
  <c r="U197"/>
  <c r="Z197" s="1"/>
  <c r="T197"/>
  <c r="Y196"/>
  <c r="X196"/>
  <c r="W196"/>
  <c r="U196"/>
  <c r="Z196" s="1"/>
  <c r="T196"/>
  <c r="Y195"/>
  <c r="X195"/>
  <c r="W195"/>
  <c r="U195"/>
  <c r="Z195" s="1"/>
  <c r="T195"/>
  <c r="Y194"/>
  <c r="X194"/>
  <c r="W194"/>
  <c r="U194"/>
  <c r="Z194" s="1"/>
  <c r="T194"/>
  <c r="Y193"/>
  <c r="X193"/>
  <c r="W193"/>
  <c r="U193"/>
  <c r="Z193" s="1"/>
  <c r="T193"/>
  <c r="Y192"/>
  <c r="X192"/>
  <c r="W192"/>
  <c r="U192"/>
  <c r="Z192" s="1"/>
  <c r="T192"/>
  <c r="Y191"/>
  <c r="X191"/>
  <c r="W191"/>
  <c r="U191"/>
  <c r="Z191" s="1"/>
  <c r="T191"/>
  <c r="Y190"/>
  <c r="X190"/>
  <c r="W190"/>
  <c r="U190"/>
  <c r="Z190" s="1"/>
  <c r="T190"/>
  <c r="Y189"/>
  <c r="X189"/>
  <c r="W189"/>
  <c r="U189"/>
  <c r="Z189" s="1"/>
  <c r="T189"/>
  <c r="Y188"/>
  <c r="X188"/>
  <c r="W188"/>
  <c r="U188"/>
  <c r="Z188" s="1"/>
  <c r="T188"/>
  <c r="Y187"/>
  <c r="X187"/>
  <c r="W187"/>
  <c r="U187"/>
  <c r="Z187" s="1"/>
  <c r="T187"/>
  <c r="Y186"/>
  <c r="X186"/>
  <c r="W186"/>
  <c r="U186"/>
  <c r="Z186" s="1"/>
  <c r="T186"/>
  <c r="Y185"/>
  <c r="X185"/>
  <c r="W185"/>
  <c r="U185"/>
  <c r="Z185" s="1"/>
  <c r="T185"/>
  <c r="Y184"/>
  <c r="X184"/>
  <c r="W184"/>
  <c r="U184"/>
  <c r="Z184" s="1"/>
  <c r="T184"/>
  <c r="Y183"/>
  <c r="X183"/>
  <c r="W183"/>
  <c r="U183"/>
  <c r="Z183" s="1"/>
  <c r="T183"/>
  <c r="Y182"/>
  <c r="X182"/>
  <c r="W182"/>
  <c r="U182"/>
  <c r="Z182" s="1"/>
  <c r="T182"/>
  <c r="Y181"/>
  <c r="X181"/>
  <c r="W181"/>
  <c r="U181"/>
  <c r="Z181" s="1"/>
  <c r="T181"/>
  <c r="Y180"/>
  <c r="X180"/>
  <c r="W180"/>
  <c r="U180"/>
  <c r="Z180" s="1"/>
  <c r="T180"/>
  <c r="Y179"/>
  <c r="X179"/>
  <c r="W179"/>
  <c r="U179"/>
  <c r="Z179" s="1"/>
  <c r="T179"/>
  <c r="Y178"/>
  <c r="X178"/>
  <c r="W178"/>
  <c r="U178"/>
  <c r="Z178" s="1"/>
  <c r="T178"/>
  <c r="Y177"/>
  <c r="X177"/>
  <c r="W177"/>
  <c r="U177"/>
  <c r="Z177" s="1"/>
  <c r="T177"/>
  <c r="Y176"/>
  <c r="X176"/>
  <c r="W176"/>
  <c r="U176"/>
  <c r="Z176" s="1"/>
  <c r="T176"/>
  <c r="Y175"/>
  <c r="X175"/>
  <c r="W175"/>
  <c r="U175"/>
  <c r="Z175" s="1"/>
  <c r="T175"/>
  <c r="Y174"/>
  <c r="X174"/>
  <c r="W174"/>
  <c r="U174"/>
  <c r="Z174" s="1"/>
  <c r="T174"/>
  <c r="Y173"/>
  <c r="X173"/>
  <c r="W173"/>
  <c r="U173"/>
  <c r="Z173" s="1"/>
  <c r="T173"/>
  <c r="Y172"/>
  <c r="X172"/>
  <c r="W172"/>
  <c r="U172"/>
  <c r="Z172" s="1"/>
  <c r="T172"/>
  <c r="Y171"/>
  <c r="X171"/>
  <c r="W171"/>
  <c r="U171"/>
  <c r="Z171" s="1"/>
  <c r="T171"/>
  <c r="Y170"/>
  <c r="X170"/>
  <c r="W170"/>
  <c r="U170"/>
  <c r="Z170" s="1"/>
  <c r="T170"/>
  <c r="Y169"/>
  <c r="X169"/>
  <c r="W169"/>
  <c r="U169"/>
  <c r="Z169" s="1"/>
  <c r="T169"/>
  <c r="Y168"/>
  <c r="X168"/>
  <c r="W168"/>
  <c r="U168"/>
  <c r="Z168" s="1"/>
  <c r="T168"/>
  <c r="Y167"/>
  <c r="X167"/>
  <c r="W167"/>
  <c r="U167"/>
  <c r="Z167" s="1"/>
  <c r="T167"/>
  <c r="Y166"/>
  <c r="X166"/>
  <c r="W166"/>
  <c r="U166"/>
  <c r="Z166" s="1"/>
  <c r="T166"/>
  <c r="Y165"/>
  <c r="X165"/>
  <c r="W165"/>
  <c r="U165"/>
  <c r="Z165" s="1"/>
  <c r="T165"/>
  <c r="Y164"/>
  <c r="X164"/>
  <c r="W164"/>
  <c r="U164"/>
  <c r="Z164" s="1"/>
  <c r="T164"/>
  <c r="Y163"/>
  <c r="X163"/>
  <c r="W163"/>
  <c r="U163"/>
  <c r="Z163" s="1"/>
  <c r="T163"/>
  <c r="Y162"/>
  <c r="X162"/>
  <c r="W162"/>
  <c r="U162"/>
  <c r="Z162" s="1"/>
  <c r="T162"/>
  <c r="Y161"/>
  <c r="X161"/>
  <c r="W161"/>
  <c r="U161"/>
  <c r="Z161" s="1"/>
  <c r="T161"/>
  <c r="Y160"/>
  <c r="X160"/>
  <c r="W160"/>
  <c r="U160"/>
  <c r="Z160" s="1"/>
  <c r="T160"/>
  <c r="Y159"/>
  <c r="X159"/>
  <c r="W159"/>
  <c r="U159"/>
  <c r="Z159" s="1"/>
  <c r="T159"/>
  <c r="Y158"/>
  <c r="X158"/>
  <c r="W158"/>
  <c r="U158"/>
  <c r="Z158" s="1"/>
  <c r="T158"/>
  <c r="Y157"/>
  <c r="X157"/>
  <c r="W157"/>
  <c r="U157"/>
  <c r="Z157" s="1"/>
  <c r="T157"/>
  <c r="Y156"/>
  <c r="X156"/>
  <c r="W156"/>
  <c r="U156"/>
  <c r="Z156" s="1"/>
  <c r="T156"/>
  <c r="Y155"/>
  <c r="X155"/>
  <c r="W155"/>
  <c r="U155"/>
  <c r="Z155" s="1"/>
  <c r="T155"/>
  <c r="Y154"/>
  <c r="X154"/>
  <c r="W154"/>
  <c r="U154"/>
  <c r="Z154" s="1"/>
  <c r="T154"/>
  <c r="Y153"/>
  <c r="X153"/>
  <c r="W153"/>
  <c r="U153"/>
  <c r="Z153" s="1"/>
  <c r="T153"/>
  <c r="Y152"/>
  <c r="X152"/>
  <c r="W152"/>
  <c r="U152"/>
  <c r="Z152" s="1"/>
  <c r="T152"/>
  <c r="Y151"/>
  <c r="X151"/>
  <c r="W151"/>
  <c r="U151"/>
  <c r="Z151" s="1"/>
  <c r="T151"/>
  <c r="Y150"/>
  <c r="X150"/>
  <c r="W150"/>
  <c r="U150"/>
  <c r="Z150" s="1"/>
  <c r="T150"/>
  <c r="Y149"/>
  <c r="X149"/>
  <c r="W149"/>
  <c r="U149"/>
  <c r="Z149" s="1"/>
  <c r="T149"/>
  <c r="Y148"/>
  <c r="X148"/>
  <c r="W148"/>
  <c r="U148"/>
  <c r="Z148" s="1"/>
  <c r="T148"/>
  <c r="Y147"/>
  <c r="X147"/>
  <c r="W147"/>
  <c r="U147"/>
  <c r="Z147" s="1"/>
  <c r="T147"/>
  <c r="Y146"/>
  <c r="X146"/>
  <c r="W146"/>
  <c r="U146"/>
  <c r="Z146" s="1"/>
  <c r="T146"/>
  <c r="Y145"/>
  <c r="X145"/>
  <c r="W145"/>
  <c r="U145"/>
  <c r="Z145" s="1"/>
  <c r="T145"/>
  <c r="Y144"/>
  <c r="X144"/>
  <c r="W144"/>
  <c r="U144"/>
  <c r="Z144" s="1"/>
  <c r="T144"/>
  <c r="Y143"/>
  <c r="X143"/>
  <c r="W143"/>
  <c r="U143"/>
  <c r="Z143" s="1"/>
  <c r="T143"/>
  <c r="Y142"/>
  <c r="X142"/>
  <c r="W142"/>
  <c r="U142"/>
  <c r="Z142" s="1"/>
  <c r="T142"/>
  <c r="Y141"/>
  <c r="X141"/>
  <c r="W141"/>
  <c r="U141"/>
  <c r="Z141" s="1"/>
  <c r="T141"/>
  <c r="Y140"/>
  <c r="X140"/>
  <c r="W140"/>
  <c r="U140"/>
  <c r="Z140" s="1"/>
  <c r="T140"/>
  <c r="Y139"/>
  <c r="X139"/>
  <c r="W139"/>
  <c r="U139"/>
  <c r="Z139" s="1"/>
  <c r="T139"/>
  <c r="Y138"/>
  <c r="X138"/>
  <c r="W138"/>
  <c r="U138"/>
  <c r="Z138" s="1"/>
  <c r="T138"/>
  <c r="Y137"/>
  <c r="X137"/>
  <c r="W137"/>
  <c r="U137"/>
  <c r="Z137" s="1"/>
  <c r="T137"/>
  <c r="Y136"/>
  <c r="X136"/>
  <c r="W136"/>
  <c r="U136"/>
  <c r="Z136" s="1"/>
  <c r="T136"/>
  <c r="Y135"/>
  <c r="X135"/>
  <c r="W135"/>
  <c r="U135"/>
  <c r="T135"/>
  <c r="Y134"/>
  <c r="X134"/>
  <c r="W134"/>
  <c r="U134"/>
  <c r="Z134" s="1"/>
  <c r="T134"/>
  <c r="Y133"/>
  <c r="X133"/>
  <c r="W133"/>
  <c r="U133"/>
  <c r="Z133" s="1"/>
  <c r="T133"/>
  <c r="Y132"/>
  <c r="X132"/>
  <c r="W132"/>
  <c r="U132"/>
  <c r="Z132" s="1"/>
  <c r="T132"/>
  <c r="Y131"/>
  <c r="X131"/>
  <c r="W131"/>
  <c r="U131"/>
  <c r="Z131" s="1"/>
  <c r="T131"/>
  <c r="Y130"/>
  <c r="X130"/>
  <c r="W130"/>
  <c r="U130"/>
  <c r="Z130" s="1"/>
  <c r="T130"/>
  <c r="Y129"/>
  <c r="X129"/>
  <c r="W129"/>
  <c r="U129"/>
  <c r="Z129" s="1"/>
  <c r="T129"/>
  <c r="Y128"/>
  <c r="X128"/>
  <c r="W128"/>
  <c r="U128"/>
  <c r="Z128" s="1"/>
  <c r="T128"/>
  <c r="Y127"/>
  <c r="X127"/>
  <c r="W127"/>
  <c r="U127"/>
  <c r="Z127" s="1"/>
  <c r="T127"/>
  <c r="Y126"/>
  <c r="X126"/>
  <c r="W126"/>
  <c r="U126"/>
  <c r="Z126" s="1"/>
  <c r="T126"/>
  <c r="Y125"/>
  <c r="X125"/>
  <c r="W125"/>
  <c r="U125"/>
  <c r="Z125" s="1"/>
  <c r="T125"/>
  <c r="Y124"/>
  <c r="X124"/>
  <c r="W124"/>
  <c r="U124"/>
  <c r="Z124" s="1"/>
  <c r="T124"/>
  <c r="Y123"/>
  <c r="X123"/>
  <c r="W123"/>
  <c r="U123"/>
  <c r="Z123" s="1"/>
  <c r="T123"/>
  <c r="Y122"/>
  <c r="X122"/>
  <c r="W122"/>
  <c r="U122"/>
  <c r="Z122" s="1"/>
  <c r="T122"/>
  <c r="Y121"/>
  <c r="X121"/>
  <c r="W121"/>
  <c r="U121"/>
  <c r="Z121" s="1"/>
  <c r="T121"/>
  <c r="Y120"/>
  <c r="X120"/>
  <c r="W120"/>
  <c r="U120"/>
  <c r="Z120" s="1"/>
  <c r="T120"/>
  <c r="Y119"/>
  <c r="X119"/>
  <c r="W119"/>
  <c r="U119"/>
  <c r="Z119" s="1"/>
  <c r="T119"/>
  <c r="Y118"/>
  <c r="X118"/>
  <c r="W118"/>
  <c r="U118"/>
  <c r="Z118" s="1"/>
  <c r="T118"/>
  <c r="Y117"/>
  <c r="X117"/>
  <c r="W117"/>
  <c r="U117"/>
  <c r="Z117" s="1"/>
  <c r="T117"/>
  <c r="Y116"/>
  <c r="X116"/>
  <c r="W116"/>
  <c r="U116"/>
  <c r="Z116" s="1"/>
  <c r="T116"/>
  <c r="Y115"/>
  <c r="X115"/>
  <c r="W115"/>
  <c r="U115"/>
  <c r="Z115" s="1"/>
  <c r="T115"/>
  <c r="Y114"/>
  <c r="X114"/>
  <c r="W114"/>
  <c r="U114"/>
  <c r="Z114" s="1"/>
  <c r="T114"/>
  <c r="Y113"/>
  <c r="X113"/>
  <c r="W113"/>
  <c r="U113"/>
  <c r="Z113" s="1"/>
  <c r="T113"/>
  <c r="Y112"/>
  <c r="X112"/>
  <c r="W112"/>
  <c r="U112"/>
  <c r="Z112" s="1"/>
  <c r="T112"/>
  <c r="Y111"/>
  <c r="X111"/>
  <c r="W111"/>
  <c r="U111"/>
  <c r="Z111" s="1"/>
  <c r="T111"/>
  <c r="Y110"/>
  <c r="X110"/>
  <c r="W110"/>
  <c r="U110"/>
  <c r="Z110" s="1"/>
  <c r="T110"/>
  <c r="Y109"/>
  <c r="X109"/>
  <c r="W109"/>
  <c r="U109"/>
  <c r="Z109" s="1"/>
  <c r="T109"/>
  <c r="Y108"/>
  <c r="X108"/>
  <c r="W108"/>
  <c r="U108"/>
  <c r="Z108" s="1"/>
  <c r="T108"/>
  <c r="Y107"/>
  <c r="X107"/>
  <c r="W107"/>
  <c r="U107"/>
  <c r="Z107" s="1"/>
  <c r="T107"/>
  <c r="Y106"/>
  <c r="X106"/>
  <c r="W106"/>
  <c r="U106"/>
  <c r="Z106" s="1"/>
  <c r="T106"/>
  <c r="Y105"/>
  <c r="X105"/>
  <c r="W105"/>
  <c r="U105"/>
  <c r="Z105" s="1"/>
  <c r="T105"/>
  <c r="Y104"/>
  <c r="X104"/>
  <c r="W104"/>
  <c r="U104"/>
  <c r="Z104" s="1"/>
  <c r="T104"/>
  <c r="Y103"/>
  <c r="X103"/>
  <c r="W103"/>
  <c r="U103"/>
  <c r="Z103" s="1"/>
  <c r="T103"/>
  <c r="Y102"/>
  <c r="X102"/>
  <c r="W102"/>
  <c r="U102"/>
  <c r="Z102" s="1"/>
  <c r="T102"/>
  <c r="Y101"/>
  <c r="X101"/>
  <c r="W101"/>
  <c r="U101"/>
  <c r="Z101" s="1"/>
  <c r="T101"/>
  <c r="Y100"/>
  <c r="X100"/>
  <c r="W100"/>
  <c r="U100"/>
  <c r="Z100" s="1"/>
  <c r="T100"/>
  <c r="Y99"/>
  <c r="X99"/>
  <c r="W99"/>
  <c r="U99"/>
  <c r="Z99" s="1"/>
  <c r="T99"/>
  <c r="Y98"/>
  <c r="X98"/>
  <c r="W98"/>
  <c r="U98"/>
  <c r="Z98" s="1"/>
  <c r="T98"/>
  <c r="Y97"/>
  <c r="X97"/>
  <c r="W97"/>
  <c r="U97"/>
  <c r="Z97" s="1"/>
  <c r="T97"/>
  <c r="Y96"/>
  <c r="X96"/>
  <c r="W96"/>
  <c r="U96"/>
  <c r="Z96" s="1"/>
  <c r="T96"/>
  <c r="Y95"/>
  <c r="X95"/>
  <c r="W95"/>
  <c r="U95"/>
  <c r="T95"/>
  <c r="Y94"/>
  <c r="X94"/>
  <c r="W94"/>
  <c r="U94"/>
  <c r="T94"/>
  <c r="Y93"/>
  <c r="X93"/>
  <c r="W93"/>
  <c r="U93"/>
  <c r="Z93" s="1"/>
  <c r="T93"/>
  <c r="Y92"/>
  <c r="X92"/>
  <c r="W92"/>
  <c r="U92"/>
  <c r="T92"/>
  <c r="Y91"/>
  <c r="X91"/>
  <c r="W91"/>
  <c r="U91"/>
  <c r="Z91" s="1"/>
  <c r="T91"/>
  <c r="Y90"/>
  <c r="X90"/>
  <c r="W90"/>
  <c r="U90"/>
  <c r="T90"/>
  <c r="Y89"/>
  <c r="X89"/>
  <c r="W89"/>
  <c r="U89"/>
  <c r="Z89" s="1"/>
  <c r="T89"/>
  <c r="Y88"/>
  <c r="X88"/>
  <c r="W88"/>
  <c r="U88"/>
  <c r="T88"/>
  <c r="Y87"/>
  <c r="X87"/>
  <c r="W87"/>
  <c r="U87"/>
  <c r="Z87" s="1"/>
  <c r="T87"/>
  <c r="Y86"/>
  <c r="X86"/>
  <c r="W86"/>
  <c r="U86"/>
  <c r="T86"/>
  <c r="Y85"/>
  <c r="X85"/>
  <c r="W85"/>
  <c r="U85"/>
  <c r="Z85" s="1"/>
  <c r="T85"/>
  <c r="Y84"/>
  <c r="X84"/>
  <c r="W84"/>
  <c r="U84"/>
  <c r="T84"/>
  <c r="Y83"/>
  <c r="X83"/>
  <c r="W83"/>
  <c r="U83"/>
  <c r="Z83" s="1"/>
  <c r="T83"/>
  <c r="Y82"/>
  <c r="X82"/>
  <c r="W82"/>
  <c r="U82"/>
  <c r="T82"/>
  <c r="Y81"/>
  <c r="X81"/>
  <c r="W81"/>
  <c r="U81"/>
  <c r="Z81" s="1"/>
  <c r="T81"/>
  <c r="Y80"/>
  <c r="X80"/>
  <c r="W80"/>
  <c r="U80"/>
  <c r="T80"/>
  <c r="Y79"/>
  <c r="X79"/>
  <c r="W79"/>
  <c r="U79"/>
  <c r="Z79" s="1"/>
  <c r="T79"/>
  <c r="Y78"/>
  <c r="X78"/>
  <c r="W78"/>
  <c r="U78"/>
  <c r="T78"/>
  <c r="Y77"/>
  <c r="X77"/>
  <c r="W77"/>
  <c r="U77"/>
  <c r="Z77" s="1"/>
  <c r="T77"/>
  <c r="Y76"/>
  <c r="X76"/>
  <c r="W76"/>
  <c r="U76"/>
  <c r="T76"/>
  <c r="Y75"/>
  <c r="X75"/>
  <c r="W75"/>
  <c r="U75"/>
  <c r="Z75" s="1"/>
  <c r="T75"/>
  <c r="Y74"/>
  <c r="X74"/>
  <c r="W74"/>
  <c r="U74"/>
  <c r="T74"/>
  <c r="Y73"/>
  <c r="X73"/>
  <c r="W73"/>
  <c r="U73"/>
  <c r="Z73" s="1"/>
  <c r="T73"/>
  <c r="Y72"/>
  <c r="X72"/>
  <c r="W72"/>
  <c r="U72"/>
  <c r="T72"/>
  <c r="Y71"/>
  <c r="X71"/>
  <c r="W71"/>
  <c r="U71"/>
  <c r="Z71" s="1"/>
  <c r="T71"/>
  <c r="Y70"/>
  <c r="X70"/>
  <c r="W70"/>
  <c r="U70"/>
  <c r="T70"/>
  <c r="Y69"/>
  <c r="X69"/>
  <c r="W69"/>
  <c r="U69"/>
  <c r="Z69" s="1"/>
  <c r="T69"/>
  <c r="Y68"/>
  <c r="X68"/>
  <c r="W68"/>
  <c r="U68"/>
  <c r="T68"/>
  <c r="Y67"/>
  <c r="X67"/>
  <c r="W67"/>
  <c r="U67"/>
  <c r="Z67" s="1"/>
  <c r="T67"/>
  <c r="Y66"/>
  <c r="X66"/>
  <c r="W66"/>
  <c r="U66"/>
  <c r="Z66" s="1"/>
  <c r="T66"/>
  <c r="Y65"/>
  <c r="X65"/>
  <c r="W65"/>
  <c r="U65"/>
  <c r="Z65" s="1"/>
  <c r="T65"/>
  <c r="Y64"/>
  <c r="X64"/>
  <c r="W64"/>
  <c r="U64"/>
  <c r="Z64" s="1"/>
  <c r="T64"/>
  <c r="Y63"/>
  <c r="X63"/>
  <c r="W63"/>
  <c r="U63"/>
  <c r="Z63" s="1"/>
  <c r="T63"/>
  <c r="Y62"/>
  <c r="X62"/>
  <c r="W62"/>
  <c r="U62"/>
  <c r="Z62" s="1"/>
  <c r="T62"/>
  <c r="Y61"/>
  <c r="X61"/>
  <c r="W61"/>
  <c r="U61"/>
  <c r="Z61" s="1"/>
  <c r="T61"/>
  <c r="Y60"/>
  <c r="X60"/>
  <c r="W60"/>
  <c r="U60"/>
  <c r="Z60" s="1"/>
  <c r="T60"/>
  <c r="Y59"/>
  <c r="X59"/>
  <c r="W59"/>
  <c r="U59"/>
  <c r="Z59" s="1"/>
  <c r="T59"/>
  <c r="Y58"/>
  <c r="X58"/>
  <c r="W58"/>
  <c r="U58"/>
  <c r="Z58" s="1"/>
  <c r="T58"/>
  <c r="Y57"/>
  <c r="X57"/>
  <c r="W57"/>
  <c r="U57"/>
  <c r="Z57" s="1"/>
  <c r="T57"/>
  <c r="Y56"/>
  <c r="X56"/>
  <c r="W56"/>
  <c r="U56"/>
  <c r="Z56" s="1"/>
  <c r="T56"/>
  <c r="Y55"/>
  <c r="X55"/>
  <c r="W55"/>
  <c r="U55"/>
  <c r="Z55" s="1"/>
  <c r="T55"/>
  <c r="Y54"/>
  <c r="X54"/>
  <c r="W54"/>
  <c r="U54"/>
  <c r="Z54" s="1"/>
  <c r="T54"/>
  <c r="Y53"/>
  <c r="X53"/>
  <c r="W53"/>
  <c r="U53"/>
  <c r="Z53" s="1"/>
  <c r="T53"/>
  <c r="Y52"/>
  <c r="X52"/>
  <c r="W52"/>
  <c r="U52"/>
  <c r="Z52" s="1"/>
  <c r="T52"/>
  <c r="Y51"/>
  <c r="X51"/>
  <c r="W51"/>
  <c r="U51"/>
  <c r="Z51" s="1"/>
  <c r="T51"/>
  <c r="Y50"/>
  <c r="X50"/>
  <c r="W50"/>
  <c r="U50"/>
  <c r="Z50" s="1"/>
  <c r="T50"/>
  <c r="Y49"/>
  <c r="X49"/>
  <c r="W49"/>
  <c r="U49"/>
  <c r="Z49" s="1"/>
  <c r="T49"/>
  <c r="Y48"/>
  <c r="X48"/>
  <c r="W48"/>
  <c r="U48"/>
  <c r="Z48" s="1"/>
  <c r="T48"/>
  <c r="Y47"/>
  <c r="X47"/>
  <c r="W47"/>
  <c r="U47"/>
  <c r="Z47" s="1"/>
  <c r="T47"/>
  <c r="Y46"/>
  <c r="X46"/>
  <c r="W46"/>
  <c r="U46"/>
  <c r="Z46" s="1"/>
  <c r="T46"/>
  <c r="Y45"/>
  <c r="X45"/>
  <c r="W45"/>
  <c r="U45"/>
  <c r="Z45" s="1"/>
  <c r="T45"/>
  <c r="Y44"/>
  <c r="X44"/>
  <c r="W44"/>
  <c r="U44"/>
  <c r="Z44" s="1"/>
  <c r="T44"/>
  <c r="Y43"/>
  <c r="X43"/>
  <c r="W43"/>
  <c r="U43"/>
  <c r="Z43" s="1"/>
  <c r="T43"/>
  <c r="Y42"/>
  <c r="X42"/>
  <c r="W42"/>
  <c r="U42"/>
  <c r="Z42" s="1"/>
  <c r="T42"/>
  <c r="Y41"/>
  <c r="X41"/>
  <c r="W41"/>
  <c r="U41"/>
  <c r="Z41" s="1"/>
  <c r="T41"/>
  <c r="Y40"/>
  <c r="X40"/>
  <c r="W40"/>
  <c r="U40"/>
  <c r="Z40" s="1"/>
  <c r="T40"/>
  <c r="Y39"/>
  <c r="X39"/>
  <c r="W39"/>
  <c r="U39"/>
  <c r="Z39" s="1"/>
  <c r="T39"/>
  <c r="Y38"/>
  <c r="X38"/>
  <c r="W38"/>
  <c r="U38"/>
  <c r="Z38" s="1"/>
  <c r="T38"/>
  <c r="Y37"/>
  <c r="X37"/>
  <c r="W37"/>
  <c r="U37"/>
  <c r="Z37" s="1"/>
  <c r="T37"/>
  <c r="Y36"/>
  <c r="X36"/>
  <c r="W36"/>
  <c r="U36"/>
  <c r="Z36" s="1"/>
  <c r="T36"/>
  <c r="Y35"/>
  <c r="X35"/>
  <c r="W35"/>
  <c r="U35"/>
  <c r="Z35" s="1"/>
  <c r="T35"/>
  <c r="Y34"/>
  <c r="X34"/>
  <c r="W34"/>
  <c r="U34"/>
  <c r="Z34" s="1"/>
  <c r="T34"/>
  <c r="Y33"/>
  <c r="X33"/>
  <c r="W33"/>
  <c r="U33"/>
  <c r="Z33" s="1"/>
  <c r="T33"/>
  <c r="Y32"/>
  <c r="X32"/>
  <c r="W32"/>
  <c r="U32"/>
  <c r="Z32" s="1"/>
  <c r="T32"/>
  <c r="Y31"/>
  <c r="X31"/>
  <c r="W31"/>
  <c r="U31"/>
  <c r="Z31" s="1"/>
  <c r="T31"/>
  <c r="Y30"/>
  <c r="X30"/>
  <c r="W30"/>
  <c r="U30"/>
  <c r="Z30" s="1"/>
  <c r="T30"/>
  <c r="Y29"/>
  <c r="X29"/>
  <c r="W29"/>
  <c r="U29"/>
  <c r="Z29" s="1"/>
  <c r="T29"/>
  <c r="Y28"/>
  <c r="X28"/>
  <c r="W28"/>
  <c r="U28"/>
  <c r="Z28" s="1"/>
  <c r="T28"/>
  <c r="Y27"/>
  <c r="X27"/>
  <c r="W27"/>
  <c r="U27"/>
  <c r="Z27" s="1"/>
  <c r="T27"/>
  <c r="Y26"/>
  <c r="X26"/>
  <c r="W26"/>
  <c r="U26"/>
  <c r="Z26" s="1"/>
  <c r="T26"/>
  <c r="Y25"/>
  <c r="X25"/>
  <c r="W25"/>
  <c r="U25"/>
  <c r="T25"/>
  <c r="Y24"/>
  <c r="X24"/>
  <c r="W24"/>
  <c r="U24"/>
  <c r="Z24" s="1"/>
  <c r="T24"/>
  <c r="Y23"/>
  <c r="X23"/>
  <c r="W23"/>
  <c r="U23"/>
  <c r="Z23" s="1"/>
  <c r="T23"/>
  <c r="Y22"/>
  <c r="X22"/>
  <c r="W22"/>
  <c r="U22"/>
  <c r="Z22" s="1"/>
  <c r="T22"/>
  <c r="Y21"/>
  <c r="X21"/>
  <c r="W21"/>
  <c r="U21"/>
  <c r="Z21" s="1"/>
  <c r="T21"/>
  <c r="Y20"/>
  <c r="X20"/>
  <c r="W20"/>
  <c r="U20"/>
  <c r="Z20" s="1"/>
  <c r="T20"/>
  <c r="Y19"/>
  <c r="X19"/>
  <c r="W19"/>
  <c r="U19"/>
  <c r="Z19" s="1"/>
  <c r="T19"/>
  <c r="Y18"/>
  <c r="X18"/>
  <c r="W18"/>
  <c r="U18"/>
  <c r="Z18" s="1"/>
  <c r="T18"/>
  <c r="Y17"/>
  <c r="X17"/>
  <c r="W17"/>
  <c r="U17"/>
  <c r="Z17" s="1"/>
  <c r="T17"/>
  <c r="Y16"/>
  <c r="X16"/>
  <c r="W16"/>
  <c r="U16"/>
  <c r="Z16" s="1"/>
  <c r="T16"/>
  <c r="Y15"/>
  <c r="X15"/>
  <c r="W15"/>
  <c r="U15"/>
  <c r="Z15" s="1"/>
  <c r="T15"/>
  <c r="Y14"/>
  <c r="X14"/>
  <c r="W14"/>
  <c r="U14"/>
  <c r="Z14" s="1"/>
  <c r="T14"/>
  <c r="Y13"/>
  <c r="X13"/>
  <c r="W13"/>
  <c r="U13"/>
  <c r="Z13" s="1"/>
  <c r="T13"/>
  <c r="Y12"/>
  <c r="X12"/>
  <c r="W12"/>
  <c r="U12"/>
  <c r="Z12" s="1"/>
  <c r="T12"/>
  <c r="Y11"/>
  <c r="X11"/>
  <c r="W11"/>
  <c r="U11"/>
  <c r="Z11" s="1"/>
  <c r="T11"/>
  <c r="Y10"/>
  <c r="X10"/>
  <c r="W10"/>
  <c r="U10"/>
  <c r="Z10" s="1"/>
  <c r="T10"/>
  <c r="Y9"/>
  <c r="X9"/>
  <c r="W9"/>
  <c r="U9"/>
  <c r="Z9" s="1"/>
  <c r="T9"/>
  <c r="Y8"/>
  <c r="X8"/>
  <c r="W8"/>
  <c r="U8"/>
  <c r="Z8" s="1"/>
  <c r="T8"/>
  <c r="Y7"/>
  <c r="X7"/>
  <c r="W7"/>
  <c r="U7"/>
  <c r="Z7" s="1"/>
  <c r="T7"/>
  <c r="Y6"/>
  <c r="X6"/>
  <c r="W6"/>
  <c r="U6"/>
  <c r="Z6" s="1"/>
  <c r="T6"/>
  <c r="Y5"/>
  <c r="X5"/>
  <c r="W5"/>
  <c r="U5"/>
  <c r="Z5" s="1"/>
  <c r="T5"/>
  <c r="Y4"/>
  <c r="X4"/>
  <c r="W4"/>
  <c r="U4"/>
  <c r="Z4" s="1"/>
  <c r="T4"/>
  <c r="Y3"/>
  <c r="X3"/>
  <c r="W3"/>
  <c r="U3"/>
  <c r="T3"/>
  <c r="Y2"/>
  <c r="X2"/>
  <c r="W2"/>
  <c r="U2"/>
  <c r="Z2" s="1"/>
  <c r="T2"/>
  <c r="Y590" l="1"/>
  <c r="W568"/>
  <c r="X574"/>
  <c r="T568"/>
  <c r="V2"/>
  <c r="U574"/>
  <c r="V4"/>
  <c r="V6"/>
  <c r="V8"/>
  <c r="V10"/>
  <c r="V12"/>
  <c r="V14"/>
  <c r="V16"/>
  <c r="V18"/>
  <c r="V20"/>
  <c r="V22"/>
  <c r="V24"/>
  <c r="U575"/>
  <c r="X575"/>
  <c r="V26"/>
  <c r="V28"/>
  <c r="V30"/>
  <c r="V32"/>
  <c r="V34"/>
  <c r="V36"/>
  <c r="V38"/>
  <c r="V40"/>
  <c r="V42"/>
  <c r="V44"/>
  <c r="V46"/>
  <c r="V48"/>
  <c r="V50"/>
  <c r="V52"/>
  <c r="V54"/>
  <c r="V56"/>
  <c r="V58"/>
  <c r="V60"/>
  <c r="V62"/>
  <c r="V64"/>
  <c r="V66"/>
  <c r="W576"/>
  <c r="W577"/>
  <c r="X578"/>
  <c r="X579"/>
  <c r="X580"/>
  <c r="X581"/>
  <c r="X582"/>
  <c r="X583"/>
  <c r="X584"/>
  <c r="W585"/>
  <c r="X586"/>
  <c r="W587"/>
  <c r="X588"/>
  <c r="W589"/>
  <c r="W590"/>
  <c r="X591"/>
  <c r="W592"/>
  <c r="W593"/>
  <c r="X594"/>
  <c r="Y591"/>
  <c r="Y592"/>
  <c r="Y593"/>
  <c r="Y594"/>
  <c r="C13" i="70"/>
  <c r="B13" s="1"/>
  <c r="W575" i="68"/>
  <c r="X576"/>
  <c r="X577"/>
  <c r="X587"/>
  <c r="X589"/>
  <c r="X590"/>
  <c r="X592"/>
  <c r="X593"/>
  <c r="W594"/>
  <c r="Z68"/>
  <c r="V68"/>
  <c r="Z70"/>
  <c r="V70"/>
  <c r="Z72"/>
  <c r="V72"/>
  <c r="Z74"/>
  <c r="V74"/>
  <c r="Z76"/>
  <c r="V76"/>
  <c r="Z78"/>
  <c r="V78"/>
  <c r="Z80"/>
  <c r="V80"/>
  <c r="Z82"/>
  <c r="V82"/>
  <c r="Z84"/>
  <c r="V84"/>
  <c r="Z86"/>
  <c r="V86"/>
  <c r="Z88"/>
  <c r="V88"/>
  <c r="Z90"/>
  <c r="V90"/>
  <c r="Z92"/>
  <c r="V92"/>
  <c r="Z94"/>
  <c r="V94"/>
  <c r="U576"/>
  <c r="V96"/>
  <c r="V98"/>
  <c r="V100"/>
  <c r="V102"/>
  <c r="V104"/>
  <c r="V106"/>
  <c r="V108"/>
  <c r="V110"/>
  <c r="V112"/>
  <c r="V114"/>
  <c r="V116"/>
  <c r="V118"/>
  <c r="V120"/>
  <c r="V122"/>
  <c r="V124"/>
  <c r="V126"/>
  <c r="V128"/>
  <c r="V130"/>
  <c r="V132"/>
  <c r="V134"/>
  <c r="U577"/>
  <c r="V136"/>
  <c r="V138"/>
  <c r="V140"/>
  <c r="V142"/>
  <c r="V144"/>
  <c r="V146"/>
  <c r="V148"/>
  <c r="V150"/>
  <c r="V152"/>
  <c r="V154"/>
  <c r="V156"/>
  <c r="V158"/>
  <c r="V160"/>
  <c r="V162"/>
  <c r="V164"/>
  <c r="V166"/>
  <c r="V168"/>
  <c r="V170"/>
  <c r="V172"/>
  <c r="V174"/>
  <c r="V176"/>
  <c r="V178"/>
  <c r="V180"/>
  <c r="V182"/>
  <c r="V184"/>
  <c r="V186"/>
  <c r="V188"/>
  <c r="V190"/>
  <c r="V192"/>
  <c r="V194"/>
  <c r="V196"/>
  <c r="V198"/>
  <c r="V200"/>
  <c r="V202"/>
  <c r="V204"/>
  <c r="V206"/>
  <c r="V208"/>
  <c r="V210"/>
  <c r="V212"/>
  <c r="V214"/>
  <c r="V216"/>
  <c r="V218"/>
  <c r="V220"/>
  <c r="V222"/>
  <c r="V224"/>
  <c r="V226"/>
  <c r="V228"/>
  <c r="V230"/>
  <c r="V232"/>
  <c r="V234"/>
  <c r="V236"/>
  <c r="V238"/>
  <c r="V240"/>
  <c r="V242"/>
  <c r="V244"/>
  <c r="V246"/>
  <c r="V248"/>
  <c r="V250"/>
  <c r="V252"/>
  <c r="V254"/>
  <c r="V256"/>
  <c r="V258"/>
  <c r="V260"/>
  <c r="V262"/>
  <c r="V264"/>
  <c r="V266"/>
  <c r="V268"/>
  <c r="V270"/>
  <c r="V272"/>
  <c r="V274"/>
  <c r="V276"/>
  <c r="V278"/>
  <c r="V280"/>
  <c r="V282"/>
  <c r="V284"/>
  <c r="V286"/>
  <c r="V288"/>
  <c r="V290"/>
  <c r="V292"/>
  <c r="V294"/>
  <c r="V296"/>
  <c r="V298"/>
  <c r="U585"/>
  <c r="V300"/>
  <c r="V302"/>
  <c r="V304"/>
  <c r="V306"/>
  <c r="V308"/>
  <c r="V310"/>
  <c r="V312"/>
  <c r="V314"/>
  <c r="V316"/>
  <c r="W588"/>
  <c r="W591"/>
  <c r="Z318"/>
  <c r="V318"/>
  <c r="Z320"/>
  <c r="V320"/>
  <c r="Z322"/>
  <c r="V322"/>
  <c r="Z324"/>
  <c r="V324"/>
  <c r="Z326"/>
  <c r="V326"/>
  <c r="Z328"/>
  <c r="V328"/>
  <c r="Z330"/>
  <c r="V330"/>
  <c r="Z332"/>
  <c r="V332"/>
  <c r="Z334"/>
  <c r="V334"/>
  <c r="Z336"/>
  <c r="V336"/>
  <c r="Z338"/>
  <c r="V338"/>
  <c r="Z340"/>
  <c r="V340"/>
  <c r="Z342"/>
  <c r="V342"/>
  <c r="Z344"/>
  <c r="V344"/>
  <c r="Z346"/>
  <c r="V346"/>
  <c r="Z348"/>
  <c r="V348"/>
  <c r="Z350"/>
  <c r="V350"/>
  <c r="Z352"/>
  <c r="V352"/>
  <c r="Z354"/>
  <c r="V354"/>
  <c r="Z356"/>
  <c r="V356"/>
  <c r="Z358"/>
  <c r="V358"/>
  <c r="Z360"/>
  <c r="V360"/>
  <c r="Z362"/>
  <c r="V362"/>
  <c r="Z364"/>
  <c r="V364"/>
  <c r="Z366"/>
  <c r="V366"/>
  <c r="Z368"/>
  <c r="V368"/>
  <c r="Z370"/>
  <c r="V370"/>
  <c r="Z372"/>
  <c r="V372"/>
  <c r="Z374"/>
  <c r="V374"/>
  <c r="Z376"/>
  <c r="V376"/>
  <c r="Z378"/>
  <c r="V378"/>
  <c r="Z380"/>
  <c r="V380"/>
  <c r="Z382"/>
  <c r="V382"/>
  <c r="Z384"/>
  <c r="V384"/>
  <c r="Z386"/>
  <c r="V386"/>
  <c r="Z388"/>
  <c r="V388"/>
  <c r="Z390"/>
  <c r="V390"/>
  <c r="Z392"/>
  <c r="V392"/>
  <c r="Z394"/>
  <c r="V394"/>
  <c r="Z396"/>
  <c r="V396"/>
  <c r="Z398"/>
  <c r="V398"/>
  <c r="Z400"/>
  <c r="V400"/>
  <c r="Z402"/>
  <c r="V402"/>
  <c r="Z404"/>
  <c r="V404"/>
  <c r="Z406"/>
  <c r="V406"/>
  <c r="Z408"/>
  <c r="V408"/>
  <c r="Z410"/>
  <c r="V410"/>
  <c r="Z412"/>
  <c r="V412"/>
  <c r="Z414"/>
  <c r="V414"/>
  <c r="Z416"/>
  <c r="V416"/>
  <c r="Z418"/>
  <c r="V418"/>
  <c r="Z420"/>
  <c r="V420"/>
  <c r="Z422"/>
  <c r="V422"/>
  <c r="Z424"/>
  <c r="V424"/>
  <c r="Z426"/>
  <c r="V426"/>
  <c r="Z428"/>
  <c r="V428"/>
  <c r="Z430"/>
  <c r="V430"/>
  <c r="Z432"/>
  <c r="V432"/>
  <c r="Z434"/>
  <c r="V434"/>
  <c r="Z436"/>
  <c r="V436"/>
  <c r="Z438"/>
  <c r="V438"/>
  <c r="Z440"/>
  <c r="V440"/>
  <c r="Z442"/>
  <c r="V442"/>
  <c r="Z444"/>
  <c r="V444"/>
  <c r="Z446"/>
  <c r="V446"/>
  <c r="Z448"/>
  <c r="V448"/>
  <c r="Z450"/>
  <c r="V450"/>
  <c r="Z452"/>
  <c r="V452"/>
  <c r="Z454"/>
  <c r="V454"/>
  <c r="Z456"/>
  <c r="V456"/>
  <c r="Z458"/>
  <c r="V458"/>
  <c r="Z460"/>
  <c r="V460"/>
  <c r="Z462"/>
  <c r="V462"/>
  <c r="Z464"/>
  <c r="V464"/>
  <c r="Z466"/>
  <c r="V466"/>
  <c r="Z468"/>
  <c r="V468"/>
  <c r="Z470"/>
  <c r="V470"/>
  <c r="Z472"/>
  <c r="V472"/>
  <c r="Z474"/>
  <c r="V474"/>
  <c r="Z476"/>
  <c r="V476"/>
  <c r="Z478"/>
  <c r="V478"/>
  <c r="Z480"/>
  <c r="V480"/>
  <c r="Z482"/>
  <c r="V482"/>
  <c r="Z484"/>
  <c r="V484"/>
  <c r="Z486"/>
  <c r="V486"/>
  <c r="Z488"/>
  <c r="V488"/>
  <c r="Z490"/>
  <c r="V490"/>
  <c r="Z492"/>
  <c r="V492"/>
  <c r="Z494"/>
  <c r="V494"/>
  <c r="Z496"/>
  <c r="V496"/>
  <c r="Z498"/>
  <c r="V498"/>
  <c r="Z500"/>
  <c r="V500"/>
  <c r="Z502"/>
  <c r="V502"/>
  <c r="Z504"/>
  <c r="V504"/>
  <c r="Z506"/>
  <c r="V506"/>
  <c r="Z508"/>
  <c r="V508"/>
  <c r="Z510"/>
  <c r="V510"/>
  <c r="Z512"/>
  <c r="V512"/>
  <c r="Z514"/>
  <c r="V514"/>
  <c r="Z516"/>
  <c r="V516"/>
  <c r="Z518"/>
  <c r="V518"/>
  <c r="Z520"/>
  <c r="V520"/>
  <c r="Z522"/>
  <c r="V522"/>
  <c r="Z524"/>
  <c r="V524"/>
  <c r="Z526"/>
  <c r="V526"/>
  <c r="Z528"/>
  <c r="V528"/>
  <c r="Z530"/>
  <c r="V530"/>
  <c r="Z532"/>
  <c r="V532"/>
  <c r="Z534"/>
  <c r="V534"/>
  <c r="Z536"/>
  <c r="V536"/>
  <c r="Z538"/>
  <c r="V538"/>
  <c r="Z540"/>
  <c r="V540"/>
  <c r="Z542"/>
  <c r="V542"/>
  <c r="Z544"/>
  <c r="V544"/>
  <c r="Z546"/>
  <c r="V546"/>
  <c r="Z548"/>
  <c r="V548"/>
  <c r="Z550"/>
  <c r="V550"/>
  <c r="Z552"/>
  <c r="V552"/>
  <c r="Z554"/>
  <c r="V554"/>
  <c r="Z556"/>
  <c r="V556"/>
  <c r="Z558"/>
  <c r="V558"/>
  <c r="Z560"/>
  <c r="V560"/>
  <c r="Z562"/>
  <c r="V562"/>
  <c r="Z564"/>
  <c r="V564"/>
  <c r="Z566"/>
  <c r="V566"/>
  <c r="Y585"/>
  <c r="Y586"/>
  <c r="Y587"/>
  <c r="Y588"/>
  <c r="Y589"/>
  <c r="U578"/>
  <c r="U579"/>
  <c r="U580"/>
  <c r="U581"/>
  <c r="U582"/>
  <c r="U583"/>
  <c r="U588"/>
  <c r="U591"/>
  <c r="U594"/>
  <c r="Y568"/>
  <c r="Z359"/>
  <c r="V359"/>
  <c r="Z361"/>
  <c r="V361"/>
  <c r="Z363"/>
  <c r="V363"/>
  <c r="Z365"/>
  <c r="V365"/>
  <c r="Z367"/>
  <c r="V367"/>
  <c r="Z369"/>
  <c r="V369"/>
  <c r="Z371"/>
  <c r="V371"/>
  <c r="Z373"/>
  <c r="V373"/>
  <c r="Z375"/>
  <c r="V375"/>
  <c r="U587"/>
  <c r="Z377"/>
  <c r="V377"/>
  <c r="Z379"/>
  <c r="V379"/>
  <c r="Z381"/>
  <c r="V381"/>
  <c r="Z383"/>
  <c r="V383"/>
  <c r="Z385"/>
  <c r="V385"/>
  <c r="Z387"/>
  <c r="V387"/>
  <c r="Z389"/>
  <c r="V389"/>
  <c r="Z391"/>
  <c r="V391"/>
  <c r="Z393"/>
  <c r="V393"/>
  <c r="Z395"/>
  <c r="V395"/>
  <c r="Z397"/>
  <c r="V397"/>
  <c r="Z399"/>
  <c r="V399"/>
  <c r="Z401"/>
  <c r="V401"/>
  <c r="Z403"/>
  <c r="V403"/>
  <c r="Z405"/>
  <c r="V405"/>
  <c r="Z407"/>
  <c r="V407"/>
  <c r="Z409"/>
  <c r="V409"/>
  <c r="Z411"/>
  <c r="V411"/>
  <c r="Z413"/>
  <c r="V413"/>
  <c r="Z415"/>
  <c r="V415"/>
  <c r="Z417"/>
  <c r="V417"/>
  <c r="Z419"/>
  <c r="V419"/>
  <c r="Z421"/>
  <c r="V421"/>
  <c r="Z423"/>
  <c r="V423"/>
  <c r="Z425"/>
  <c r="V425"/>
  <c r="Z427"/>
  <c r="V427"/>
  <c r="Z429"/>
  <c r="V429"/>
  <c r="Z431"/>
  <c r="V431"/>
  <c r="Z433"/>
  <c r="V433"/>
  <c r="Z435"/>
  <c r="V435"/>
  <c r="Z437"/>
  <c r="V437"/>
  <c r="Z439"/>
  <c r="V439"/>
  <c r="Z441"/>
  <c r="V441"/>
  <c r="Z443"/>
  <c r="V443"/>
  <c r="Z445"/>
  <c r="V445"/>
  <c r="Z447"/>
  <c r="V447"/>
  <c r="U589"/>
  <c r="Z449"/>
  <c r="V449"/>
  <c r="Z451"/>
  <c r="V451"/>
  <c r="Z453"/>
  <c r="V453"/>
  <c r="Z455"/>
  <c r="V455"/>
  <c r="Z457"/>
  <c r="V457"/>
  <c r="Z459"/>
  <c r="V459"/>
  <c r="Z461"/>
  <c r="V461"/>
  <c r="Z463"/>
  <c r="V463"/>
  <c r="U590"/>
  <c r="Z465"/>
  <c r="V465"/>
  <c r="Z467"/>
  <c r="V467"/>
  <c r="Z469"/>
  <c r="V469"/>
  <c r="Z471"/>
  <c r="V471"/>
  <c r="Z473"/>
  <c r="V473"/>
  <c r="Z475"/>
  <c r="V475"/>
  <c r="Z477"/>
  <c r="V477"/>
  <c r="Z479"/>
  <c r="V479"/>
  <c r="Z481"/>
  <c r="V481"/>
  <c r="Z483"/>
  <c r="V483"/>
  <c r="Z485"/>
  <c r="V485"/>
  <c r="Z487"/>
  <c r="V487"/>
  <c r="Z489"/>
  <c r="V489"/>
  <c r="Z491"/>
  <c r="V491"/>
  <c r="Z493"/>
  <c r="V493"/>
  <c r="Z495"/>
  <c r="V495"/>
  <c r="Z497"/>
  <c r="V497"/>
  <c r="Z499"/>
  <c r="V499"/>
  <c r="U592"/>
  <c r="Z501"/>
  <c r="V501"/>
  <c r="Z503"/>
  <c r="V503"/>
  <c r="Z505"/>
  <c r="V505"/>
  <c r="Z507"/>
  <c r="V507"/>
  <c r="Z509"/>
  <c r="V509"/>
  <c r="Z511"/>
  <c r="V511"/>
  <c r="Z513"/>
  <c r="V513"/>
  <c r="Z515"/>
  <c r="V515"/>
  <c r="Z517"/>
  <c r="V517"/>
  <c r="Z519"/>
  <c r="V519"/>
  <c r="Z521"/>
  <c r="V521"/>
  <c r="Z523"/>
  <c r="V523"/>
  <c r="U593"/>
  <c r="Z525"/>
  <c r="V525"/>
  <c r="Z527"/>
  <c r="V527"/>
  <c r="Z529"/>
  <c r="V529"/>
  <c r="Z531"/>
  <c r="V531"/>
  <c r="Z533"/>
  <c r="V533"/>
  <c r="Z535"/>
  <c r="V535"/>
  <c r="Z537"/>
  <c r="V537"/>
  <c r="Z539"/>
  <c r="V539"/>
  <c r="Z541"/>
  <c r="V541"/>
  <c r="Z543"/>
  <c r="V543"/>
  <c r="Z545"/>
  <c r="V545"/>
  <c r="Z547"/>
  <c r="V547"/>
  <c r="Z549"/>
  <c r="V549"/>
  <c r="Z551"/>
  <c r="V551"/>
  <c r="Z553"/>
  <c r="V553"/>
  <c r="Z555"/>
  <c r="V555"/>
  <c r="Z557"/>
  <c r="V557"/>
  <c r="Z559"/>
  <c r="V559"/>
  <c r="Z561"/>
  <c r="V561"/>
  <c r="Z563"/>
  <c r="V563"/>
  <c r="Z565"/>
  <c r="V565"/>
  <c r="Z567"/>
  <c r="V567"/>
  <c r="U568"/>
  <c r="V568" s="1"/>
  <c r="W574"/>
  <c r="V3"/>
  <c r="Z3"/>
  <c r="V5"/>
  <c r="V7"/>
  <c r="V9"/>
  <c r="V11"/>
  <c r="V13"/>
  <c r="V15"/>
  <c r="V17"/>
  <c r="V19"/>
  <c r="V21"/>
  <c r="V23"/>
  <c r="V25"/>
  <c r="Z25"/>
  <c r="V27"/>
  <c r="V29"/>
  <c r="V31"/>
  <c r="V33"/>
  <c r="V35"/>
  <c r="V37"/>
  <c r="V39"/>
  <c r="V41"/>
  <c r="V43"/>
  <c r="V45"/>
  <c r="V47"/>
  <c r="V49"/>
  <c r="V51"/>
  <c r="V53"/>
  <c r="V55"/>
  <c r="V57"/>
  <c r="V59"/>
  <c r="V61"/>
  <c r="V63"/>
  <c r="V65"/>
  <c r="V67"/>
  <c r="V69"/>
  <c r="V71"/>
  <c r="V73"/>
  <c r="V75"/>
  <c r="V77"/>
  <c r="V79"/>
  <c r="V81"/>
  <c r="V83"/>
  <c r="V85"/>
  <c r="V87"/>
  <c r="V89"/>
  <c r="V91"/>
  <c r="V93"/>
  <c r="V95"/>
  <c r="Z95"/>
  <c r="V97"/>
  <c r="V99"/>
  <c r="V101"/>
  <c r="V103"/>
  <c r="V105"/>
  <c r="V107"/>
  <c r="V109"/>
  <c r="V111"/>
  <c r="V113"/>
  <c r="V115"/>
  <c r="V117"/>
  <c r="V119"/>
  <c r="V121"/>
  <c r="V123"/>
  <c r="V125"/>
  <c r="V127"/>
  <c r="V129"/>
  <c r="V131"/>
  <c r="V133"/>
  <c r="V135"/>
  <c r="Z135"/>
  <c r="V137"/>
  <c r="V139"/>
  <c r="V141"/>
  <c r="V143"/>
  <c r="V145"/>
  <c r="V147"/>
  <c r="V149"/>
  <c r="V151"/>
  <c r="V153"/>
  <c r="V155"/>
  <c r="V157"/>
  <c r="V159"/>
  <c r="V161"/>
  <c r="V163"/>
  <c r="V165"/>
  <c r="V167"/>
  <c r="V169"/>
  <c r="V171"/>
  <c r="W578"/>
  <c r="V173"/>
  <c r="V175"/>
  <c r="V177"/>
  <c r="V179"/>
  <c r="V181"/>
  <c r="V183"/>
  <c r="V185"/>
  <c r="V187"/>
  <c r="W579"/>
  <c r="V189"/>
  <c r="V191"/>
  <c r="V193"/>
  <c r="V195"/>
  <c r="V197"/>
  <c r="V199"/>
  <c r="V201"/>
  <c r="W580"/>
  <c r="V203"/>
  <c r="V205"/>
  <c r="V207"/>
  <c r="V209"/>
  <c r="V211"/>
  <c r="V213"/>
  <c r="V215"/>
  <c r="V217"/>
  <c r="V219"/>
  <c r="V221"/>
  <c r="V223"/>
  <c r="W581"/>
  <c r="V225"/>
  <c r="V227"/>
  <c r="V229"/>
  <c r="V231"/>
  <c r="V233"/>
  <c r="V235"/>
  <c r="V237"/>
  <c r="V239"/>
  <c r="V241"/>
  <c r="V243"/>
  <c r="V245"/>
  <c r="V247"/>
  <c r="W582"/>
  <c r="V249"/>
  <c r="V251"/>
  <c r="V253"/>
  <c r="V255"/>
  <c r="V257"/>
  <c r="V259"/>
  <c r="W583"/>
  <c r="V261"/>
  <c r="V263"/>
  <c r="V265"/>
  <c r="V267"/>
  <c r="V269"/>
  <c r="V271"/>
  <c r="V273"/>
  <c r="V275"/>
  <c r="V277"/>
  <c r="V279"/>
  <c r="V281"/>
  <c r="V283"/>
  <c r="V285"/>
  <c r="U584"/>
  <c r="W584"/>
  <c r="V287"/>
  <c r="V289"/>
  <c r="V291"/>
  <c r="V293"/>
  <c r="V295"/>
  <c r="V297"/>
  <c r="V299"/>
  <c r="X585"/>
  <c r="Z299"/>
  <c r="V301"/>
  <c r="V303"/>
  <c r="V305"/>
  <c r="V307"/>
  <c r="V309"/>
  <c r="V311"/>
  <c r="V313"/>
  <c r="V315"/>
  <c r="V317"/>
  <c r="V319"/>
  <c r="V321"/>
  <c r="V323"/>
  <c r="U586"/>
  <c r="W586"/>
  <c r="V325"/>
  <c r="V327"/>
  <c r="V329"/>
  <c r="V331"/>
  <c r="V333"/>
  <c r="V335"/>
  <c r="V337"/>
  <c r="V339"/>
  <c r="V341"/>
  <c r="V343"/>
  <c r="V345"/>
  <c r="V347"/>
  <c r="V349"/>
  <c r="V351"/>
  <c r="V353"/>
  <c r="V355"/>
  <c r="V357"/>
  <c r="Y574"/>
  <c r="Y575"/>
  <c r="Y576"/>
  <c r="Y577"/>
  <c r="Y578"/>
  <c r="Y579"/>
  <c r="Y580"/>
  <c r="Y581"/>
  <c r="Y582"/>
  <c r="Y583"/>
  <c r="Y584"/>
  <c r="C14" i="70" l="1"/>
  <c r="B14" s="1"/>
  <c r="C15" l="1"/>
  <c r="B15" s="1"/>
  <c r="C16" l="1"/>
  <c r="B16" s="1"/>
  <c r="C17" l="1"/>
  <c r="B17" s="1"/>
  <c r="M8"/>
  <c r="M10"/>
  <c r="M14"/>
  <c r="M16"/>
  <c r="M22"/>
  <c r="M24"/>
  <c r="M28"/>
  <c r="M30"/>
  <c r="K5"/>
  <c r="K7"/>
  <c r="K9"/>
  <c r="K17"/>
  <c r="K19"/>
  <c r="L19" s="1"/>
  <c r="K21"/>
  <c r="K29"/>
  <c r="K31"/>
  <c r="K33"/>
  <c r="K35"/>
  <c r="K41"/>
  <c r="K43"/>
  <c r="K45"/>
  <c r="K47"/>
  <c r="K49"/>
  <c r="K51"/>
  <c r="K53"/>
  <c r="K57"/>
  <c r="M3"/>
  <c r="M5"/>
  <c r="M7"/>
  <c r="M9"/>
  <c r="M11"/>
  <c r="M13"/>
  <c r="M15"/>
  <c r="M17"/>
  <c r="M19"/>
  <c r="N19" s="1"/>
  <c r="M21"/>
  <c r="M23"/>
  <c r="M25"/>
  <c r="M27"/>
  <c r="M29"/>
  <c r="N29" s="1"/>
  <c r="M31"/>
  <c r="M33"/>
  <c r="M35"/>
  <c r="M37"/>
  <c r="M39"/>
  <c r="M41"/>
  <c r="M43"/>
  <c r="M45"/>
  <c r="M47"/>
  <c r="M49"/>
  <c r="N49" s="1"/>
  <c r="K3"/>
  <c r="K6"/>
  <c r="K8"/>
  <c r="L8" s="1"/>
  <c r="K10"/>
  <c r="K12"/>
  <c r="L12" s="1"/>
  <c r="K14"/>
  <c r="K16"/>
  <c r="K18"/>
  <c r="L18" s="1"/>
  <c r="K20"/>
  <c r="K22"/>
  <c r="K24"/>
  <c r="K26"/>
  <c r="K28"/>
  <c r="L28" s="1"/>
  <c r="K30"/>
  <c r="K32"/>
  <c r="K34"/>
  <c r="L34" s="1"/>
  <c r="K36"/>
  <c r="L36" s="1"/>
  <c r="K38"/>
  <c r="K40"/>
  <c r="K42"/>
  <c r="K44"/>
  <c r="K46"/>
  <c r="K48"/>
  <c r="L48" s="1"/>
  <c r="K50"/>
  <c r="L50" s="1"/>
  <c r="K52"/>
  <c r="K54"/>
  <c r="K56"/>
  <c r="K58"/>
  <c r="L58" s="1"/>
  <c r="K60"/>
  <c r="M52"/>
  <c r="M54"/>
  <c r="N54" s="1"/>
  <c r="M56"/>
  <c r="M58"/>
  <c r="M60"/>
  <c r="K4"/>
  <c r="L4" s="1"/>
  <c r="M4"/>
  <c r="M6"/>
  <c r="M12"/>
  <c r="M18"/>
  <c r="M20"/>
  <c r="M26"/>
  <c r="M32"/>
  <c r="N32" s="1"/>
  <c r="M34"/>
  <c r="M36"/>
  <c r="M38"/>
  <c r="M40"/>
  <c r="M42"/>
  <c r="M44"/>
  <c r="M46"/>
  <c r="N46" s="1"/>
  <c r="M48"/>
  <c r="N48" s="1"/>
  <c r="M50"/>
  <c r="K11"/>
  <c r="L11" s="1"/>
  <c r="K13"/>
  <c r="L13" s="1"/>
  <c r="K15"/>
  <c r="L15" s="1"/>
  <c r="K23"/>
  <c r="L23" s="1"/>
  <c r="K25"/>
  <c r="L25" s="1"/>
  <c r="K27"/>
  <c r="L27" s="1"/>
  <c r="K37"/>
  <c r="K39"/>
  <c r="K55"/>
  <c r="K59"/>
  <c r="M51"/>
  <c r="M53"/>
  <c r="M55"/>
  <c r="M57"/>
  <c r="M59"/>
  <c r="O48" l="1"/>
  <c r="L3"/>
  <c r="N57"/>
  <c r="N53"/>
  <c r="L39"/>
  <c r="N44"/>
  <c r="N26"/>
  <c r="N20"/>
  <c r="N4"/>
  <c r="L32"/>
  <c r="O32" s="1"/>
  <c r="L20"/>
  <c r="N59"/>
  <c r="N55"/>
  <c r="N51"/>
  <c r="L37"/>
  <c r="N38"/>
  <c r="N36"/>
  <c r="O36" s="1"/>
  <c r="N34"/>
  <c r="O34" s="1"/>
  <c r="N12"/>
  <c r="O12" s="1"/>
  <c r="N52"/>
  <c r="L26"/>
  <c r="L14"/>
  <c r="L6"/>
  <c r="O19"/>
  <c r="N3"/>
  <c r="M61"/>
  <c r="N61" s="1"/>
  <c r="K61"/>
  <c r="L61" s="1"/>
  <c r="L59"/>
  <c r="L55"/>
  <c r="N50"/>
  <c r="O50" s="1"/>
  <c r="N42"/>
  <c r="N40"/>
  <c r="N18"/>
  <c r="O18" s="1"/>
  <c r="N6"/>
  <c r="N60"/>
  <c r="N58"/>
  <c r="O58" s="1"/>
  <c r="N56"/>
  <c r="L60"/>
  <c r="L56"/>
  <c r="L54"/>
  <c r="O54" s="1"/>
  <c r="L52"/>
  <c r="L46"/>
  <c r="O46" s="1"/>
  <c r="L44"/>
  <c r="L42"/>
  <c r="L40"/>
  <c r="L38"/>
  <c r="L30"/>
  <c r="L24"/>
  <c r="L22"/>
  <c r="L16"/>
  <c r="L10"/>
  <c r="N47"/>
  <c r="N45"/>
  <c r="N43"/>
  <c r="N41"/>
  <c r="N39"/>
  <c r="N37"/>
  <c r="N35"/>
  <c r="N33"/>
  <c r="N31"/>
  <c r="N27"/>
  <c r="O27" s="1"/>
  <c r="N25"/>
  <c r="O25" s="1"/>
  <c r="N23"/>
  <c r="O23" s="1"/>
  <c r="N21"/>
  <c r="N17"/>
  <c r="N15"/>
  <c r="O15" s="1"/>
  <c r="N13"/>
  <c r="O13" s="1"/>
  <c r="N11"/>
  <c r="O11" s="1"/>
  <c r="N9"/>
  <c r="N7"/>
  <c r="N5"/>
  <c r="L57"/>
  <c r="L53"/>
  <c r="L51"/>
  <c r="L49"/>
  <c r="O49" s="1"/>
  <c r="L47"/>
  <c r="L45"/>
  <c r="L43"/>
  <c r="L41"/>
  <c r="L35"/>
  <c r="L33"/>
  <c r="L31"/>
  <c r="L29"/>
  <c r="O29" s="1"/>
  <c r="L21"/>
  <c r="L17"/>
  <c r="L9"/>
  <c r="L7"/>
  <c r="L5"/>
  <c r="N30"/>
  <c r="N28"/>
  <c r="O28" s="1"/>
  <c r="N24"/>
  <c r="N22"/>
  <c r="N16"/>
  <c r="N14"/>
  <c r="N10"/>
  <c r="N8"/>
  <c r="O8" s="1"/>
  <c r="C18"/>
  <c r="B18" s="1"/>
  <c r="O22" l="1"/>
  <c r="O16"/>
  <c r="O24"/>
  <c r="O3"/>
  <c r="O44"/>
  <c r="O4"/>
  <c r="O53"/>
  <c r="O38"/>
  <c r="O6"/>
  <c r="O57"/>
  <c r="O37"/>
  <c r="O52"/>
  <c r="O55"/>
  <c r="O26"/>
  <c r="O14"/>
  <c r="O20"/>
  <c r="O39"/>
  <c r="O59"/>
  <c r="O51"/>
  <c r="O60"/>
  <c r="O10"/>
  <c r="O30"/>
  <c r="O17"/>
  <c r="O7"/>
  <c r="O21"/>
  <c r="O33"/>
  <c r="O41"/>
  <c r="O45"/>
  <c r="O42"/>
  <c r="O61"/>
  <c r="O5"/>
  <c r="O9"/>
  <c r="O31"/>
  <c r="O35"/>
  <c r="O43"/>
  <c r="O47"/>
  <c r="O56"/>
  <c r="O40"/>
  <c r="C19"/>
  <c r="B19" s="1"/>
  <c r="C20" l="1"/>
  <c r="B20" s="1"/>
  <c r="C21" l="1"/>
  <c r="B21" s="1"/>
  <c r="C22" l="1"/>
  <c r="B22" s="1"/>
  <c r="C23" l="1"/>
  <c r="B23" s="1"/>
  <c r="C24" l="1"/>
  <c r="B24" s="1"/>
  <c r="C25" l="1"/>
  <c r="B25" s="1"/>
  <c r="C26" l="1"/>
  <c r="B26" s="1"/>
  <c r="C27" l="1"/>
  <c r="B27" s="1"/>
  <c r="C28" l="1"/>
  <c r="B28" s="1"/>
  <c r="C29" l="1"/>
  <c r="B29" s="1"/>
  <c r="C30" l="1"/>
  <c r="B30" s="1"/>
  <c r="C31" l="1"/>
  <c r="B31" s="1"/>
  <c r="C32" l="1"/>
  <c r="B32" s="1"/>
  <c r="C33" l="1"/>
  <c r="B33" s="1"/>
  <c r="C34" l="1"/>
  <c r="B34" s="1"/>
  <c r="C35" l="1"/>
  <c r="B35" s="1"/>
  <c r="C36" l="1"/>
  <c r="B36" s="1"/>
  <c r="C37" l="1"/>
  <c r="B37" s="1"/>
  <c r="C38" l="1"/>
  <c r="B38" s="1"/>
  <c r="C39" l="1"/>
  <c r="B39" s="1"/>
  <c r="C40" l="1"/>
  <c r="B40" s="1"/>
  <c r="C41" l="1"/>
  <c r="B41" s="1"/>
  <c r="C42" l="1"/>
  <c r="B42" s="1"/>
  <c r="C43" l="1"/>
  <c r="B43" s="1"/>
  <c r="C44" l="1"/>
  <c r="B44" s="1"/>
  <c r="C45" l="1"/>
  <c r="B45" s="1"/>
  <c r="U19" l="1"/>
  <c r="U25"/>
  <c r="U21"/>
  <c r="U15"/>
  <c r="U27"/>
  <c r="U26" s="1"/>
  <c r="C46"/>
  <c r="B46" s="1"/>
  <c r="U20" l="1"/>
  <c r="U22" s="1"/>
  <c r="Q25"/>
  <c r="Q27"/>
  <c r="Q19"/>
  <c r="Q15"/>
  <c r="Q21"/>
  <c r="C47"/>
  <c r="B47" s="1"/>
  <c r="U16" l="1"/>
  <c r="U14" s="1"/>
  <c r="Q26"/>
  <c r="C48"/>
  <c r="B48" l="1"/>
  <c r="AX7"/>
  <c r="AY7" s="1"/>
  <c r="AH7"/>
  <c r="AI7" s="1"/>
  <c r="E60" i="73" s="1"/>
  <c r="Q20" i="70"/>
  <c r="Q22" s="1"/>
  <c r="Q23" s="1"/>
  <c r="Q29"/>
  <c r="C49"/>
  <c r="B49" s="1"/>
  <c r="Q31" l="1"/>
  <c r="Q16"/>
  <c r="Q14" s="1"/>
  <c r="Q17" s="1"/>
  <c r="C50"/>
  <c r="B50" s="1"/>
  <c r="C51" l="1"/>
  <c r="B51" s="1"/>
  <c r="S25" l="1"/>
  <c r="W25" s="1"/>
  <c r="S27"/>
  <c r="S19"/>
  <c r="W19" s="1"/>
  <c r="S15"/>
  <c r="W15" s="1"/>
  <c r="S21"/>
  <c r="W21" s="1"/>
  <c r="C52"/>
  <c r="B52" s="1"/>
  <c r="S26" l="1"/>
  <c r="W27"/>
  <c r="T75" i="73"/>
  <c r="C53" i="70"/>
  <c r="B53" s="1"/>
  <c r="S29" l="1"/>
  <c r="S20"/>
  <c r="Q47"/>
  <c r="C54"/>
  <c r="B54" s="1"/>
  <c r="S22" l="1"/>
  <c r="S23" s="1"/>
  <c r="S16"/>
  <c r="S14" s="1"/>
  <c r="C55"/>
  <c r="B55" s="1"/>
  <c r="S17" l="1"/>
  <c r="C56"/>
  <c r="B56" l="1"/>
  <c r="AP7"/>
  <c r="AQ7" s="1"/>
  <c r="J60" i="73" s="1"/>
  <c r="T113" i="70"/>
  <c r="C57"/>
  <c r="B57" s="1"/>
  <c r="C58" l="1"/>
  <c r="B58" s="1"/>
  <c r="C59" l="1"/>
  <c r="B59" s="1"/>
  <c r="C60" l="1"/>
  <c r="B60" s="1"/>
  <c r="C61" l="1"/>
  <c r="T112"/>
  <c r="Q114" s="1"/>
  <c r="E124" i="73"/>
  <c r="O124" s="1"/>
  <c r="C62" i="70" l="1"/>
  <c r="B61"/>
  <c r="AG36"/>
  <c r="AG35"/>
  <c r="Q51"/>
  <c r="O60" i="73"/>
  <c r="C63" i="70" l="1"/>
  <c r="B63" s="1"/>
  <c r="B62"/>
  <c r="U29"/>
  <c r="Q55"/>
  <c r="Q56" s="1"/>
  <c r="Q57" s="1"/>
  <c r="W29" l="1"/>
  <c r="Q50"/>
  <c r="Q52" s="1"/>
  <c r="Q53" s="1"/>
  <c r="Q59" s="1"/>
  <c r="W26"/>
  <c r="Q62" l="1"/>
  <c r="AH62" s="1"/>
  <c r="AH63" s="1"/>
  <c r="W20"/>
  <c r="U23" l="1"/>
  <c r="W23" s="1"/>
  <c r="W22"/>
  <c r="W16"/>
  <c r="W14"/>
  <c r="AI62" l="1"/>
  <c r="U17"/>
  <c r="W17" s="1"/>
  <c r="AI63"/>
  <c r="AH64"/>
  <c r="AI64" l="1"/>
  <c r="AH65"/>
  <c r="AI65" l="1"/>
  <c r="AH66"/>
  <c r="AI66" l="1"/>
  <c r="AH67"/>
  <c r="AI67" l="1"/>
  <c r="AH68"/>
  <c r="AH69" l="1"/>
  <c r="AI68"/>
  <c r="AI69" l="1"/>
  <c r="AH70"/>
  <c r="AI70" l="1"/>
  <c r="AH71"/>
  <c r="AH72" l="1"/>
  <c r="AI71"/>
  <c r="AH73" l="1"/>
  <c r="AI72"/>
  <c r="AI73" l="1"/>
  <c r="AH74"/>
  <c r="AI74" l="1"/>
  <c r="AH75"/>
  <c r="AI75" l="1"/>
  <c r="AH76"/>
  <c r="AH77" s="1"/>
  <c r="AI76" l="1"/>
  <c r="R90"/>
  <c r="R91" s="1"/>
  <c r="AI77" l="1"/>
  <c r="AH78"/>
  <c r="R92"/>
  <c r="R96"/>
  <c r="AH79" l="1"/>
  <c r="AI78"/>
  <c r="AI79" l="1"/>
  <c r="AH80"/>
  <c r="AI80" l="1"/>
  <c r="AH81"/>
  <c r="AH82" l="1"/>
  <c r="AI81"/>
  <c r="AI82" l="1"/>
  <c r="AH83"/>
  <c r="AI83" l="1"/>
  <c r="AH84"/>
  <c r="AI84" l="1"/>
  <c r="AH85"/>
  <c r="AH86" l="1"/>
  <c r="AI85"/>
  <c r="AI86" l="1"/>
  <c r="AH87"/>
  <c r="AI87" l="1"/>
  <c r="AH88"/>
  <c r="AI88" l="1"/>
  <c r="AH89"/>
  <c r="AH90" l="1"/>
  <c r="AI89"/>
  <c r="AI90" l="1"/>
  <c r="AH91"/>
  <c r="AI91" l="1"/>
  <c r="AH92"/>
  <c r="AI92" l="1"/>
  <c r="AH93"/>
  <c r="AH94" l="1"/>
  <c r="AI93"/>
  <c r="AI94" l="1"/>
  <c r="AH95"/>
  <c r="AI95" l="1"/>
  <c r="AH96"/>
  <c r="AI96" l="1"/>
  <c r="Q63"/>
  <c r="Q65"/>
  <c r="Q90" s="1"/>
  <c r="T90" l="1"/>
  <c r="Q91"/>
  <c r="T91" l="1"/>
  <c r="Q92"/>
  <c r="Q96"/>
  <c r="T92" l="1"/>
  <c r="Q101"/>
</calcChain>
</file>

<file path=xl/comments1.xml><?xml version="1.0" encoding="utf-8"?>
<comments xmlns="http://schemas.openxmlformats.org/spreadsheetml/2006/main">
  <authors>
    <author>Default User</author>
    <author>ITS</author>
    <author>Riley Corr</author>
  </authors>
  <commentList>
    <comment ref="H5" authorId="0">
      <text>
        <r>
          <rPr>
            <b/>
            <sz val="9"/>
            <color indexed="81"/>
            <rFont val="Tahoma"/>
            <family val="2"/>
          </rPr>
          <t>Riley Corr:</t>
        </r>
        <r>
          <rPr>
            <sz val="9"/>
            <color indexed="81"/>
            <rFont val="Tahoma"/>
            <family val="2"/>
          </rPr>
          <t xml:space="preserve">
This date determines the first year  (cell 39D)  of the cash flows</t>
        </r>
      </text>
    </comment>
    <comment ref="H16" authorId="1">
      <text>
        <r>
          <rPr>
            <b/>
            <sz val="9"/>
            <color indexed="81"/>
            <rFont val="Tahoma"/>
            <family val="2"/>
          </rPr>
          <t xml:space="preserve">Riley Corr: </t>
        </r>
        <r>
          <rPr>
            <sz val="9"/>
            <color indexed="81"/>
            <rFont val="Tahoma"/>
            <family val="2"/>
          </rPr>
          <t xml:space="preserve">permanent jobs creation is not relevant to a completely residential project and thus a net benefit analysis is not needed. Thus, the total capital investment is the only limiting factor for the tax credit award.
</t>
        </r>
      </text>
    </comment>
    <comment ref="B21" authorId="2">
      <text>
        <r>
          <rPr>
            <b/>
            <sz val="9"/>
            <color indexed="81"/>
            <rFont val="Tahoma"/>
            <family val="2"/>
          </rPr>
          <t>Riley Corr:</t>
        </r>
        <r>
          <rPr>
            <sz val="9"/>
            <color indexed="81"/>
            <rFont val="Tahoma"/>
            <family val="2"/>
          </rPr>
          <t xml:space="preserve">
These names can be manually adjusted. Then make sure that the drop down boxes in row 30 are updated by manually clicking on each cell and selecting the new name from the drop down menu</t>
        </r>
      </text>
    </comment>
    <comment ref="D36" authorId="0">
      <text>
        <r>
          <rPr>
            <b/>
            <sz val="9"/>
            <color indexed="81"/>
            <rFont val="Tahoma"/>
            <family val="2"/>
          </rPr>
          <t>Riley Corr: This date is driven by the analysis start date.</t>
        </r>
      </text>
    </comment>
    <comment ref="H60" authorId="1">
      <text>
        <r>
          <rPr>
            <b/>
            <sz val="9"/>
            <color indexed="81"/>
            <rFont val="Tahoma"/>
            <family val="2"/>
          </rPr>
          <t>ITS:</t>
        </r>
        <r>
          <rPr>
            <sz val="9"/>
            <color indexed="81"/>
            <rFont val="Tahoma"/>
            <family val="2"/>
          </rPr>
          <t xml:space="preserve">
The only time that it is acceptable to not use RIMS is when the company is relocating can substantiate the salary with an actual payroll. </t>
        </r>
      </text>
    </comment>
    <comment ref="J64" authorId="1">
      <text>
        <r>
          <rPr>
            <b/>
            <sz val="9"/>
            <color indexed="81"/>
            <rFont val="Tahoma"/>
            <family val="2"/>
          </rPr>
          <t>ITS:</t>
        </r>
        <r>
          <rPr>
            <sz val="9"/>
            <color indexed="81"/>
            <rFont val="Tahoma"/>
            <family val="2"/>
          </rPr>
          <t xml:space="preserve">
White Font - Net Profit Margin</t>
        </r>
      </text>
    </comment>
    <comment ref="T75" authorId="1">
      <text>
        <r>
          <rPr>
            <b/>
            <sz val="9"/>
            <color indexed="81"/>
            <rFont val="Tahoma"/>
            <family val="2"/>
          </rPr>
          <t>Riley Corr:</t>
        </r>
        <r>
          <rPr>
            <sz val="9"/>
            <color indexed="81"/>
            <rFont val="Tahoma"/>
            <family val="2"/>
          </rPr>
          <t xml:space="preserve">
Based on the guidelines of the NJEDA, the model only calculates sales tax for those projects that are in the Retail Trade Sector (See "Job Information" section above and choose #28) and are either a "destination" or relocating from a neighboring state. The model defaults to zero, if there are no jobs created in the Retail Trade Sector. The user also has the option of directly inputting a figure. In order to trigger this user input, Question #5 in this section must be answered "Yes".
The sales tax is calculated by taking the square footage applicable to the retail trade sector and multiplying it by $250/sf to arrive at a total sales figure. Sales tax revenue to the state is then calculated by multiplying this total sales figure by the retail sales tax (user input) and factoring in potential cannibalization of existing NJ sales (user input).
Assumes zero on retail and non-retail. You have the possibility of overriding the zero with a market study</t>
        </r>
      </text>
    </comment>
    <comment ref="T90" authorId="1">
      <text>
        <r>
          <rPr>
            <b/>
            <sz val="9"/>
            <color indexed="81"/>
            <rFont val="Tahoma"/>
            <family val="2"/>
          </rPr>
          <t>Riley Corr:</t>
        </r>
        <r>
          <rPr>
            <sz val="9"/>
            <color indexed="81"/>
            <rFont val="Tahoma"/>
            <family val="2"/>
          </rPr>
          <t xml:space="preserve">
The model calculates its own corporate income tax by multiplying the number of jobs created by a profitability figure for the industry sector (user input - see drop down menu above) of the job, which is then multiplied by 9.00%. If the user provides a figure for the corporate income tax, the model will take the lesser of the calculated figure and the inputted number. 
Note: If the majority of jobs are in the retail trade sector, then the model multiplies the calculated figure by 2/3 to arrive at the corporate income tax. 
</t>
        </r>
      </text>
    </comment>
    <comment ref="T97" authorId="1">
      <text>
        <r>
          <rPr>
            <b/>
            <sz val="9"/>
            <color indexed="81"/>
            <rFont val="Tahoma"/>
            <family val="2"/>
          </rPr>
          <t>Riley Corr:</t>
        </r>
        <r>
          <rPr>
            <sz val="9"/>
            <color indexed="81"/>
            <rFont val="Tahoma"/>
            <family val="2"/>
          </rPr>
          <t xml:space="preserve">
The gross income tax is calculated by taking the salaries for each job classification and multiplying them by 4.00%. The model uses the lesser of this calculated number and the number inputted by the user.
Note: If the majority of jobs are in the retail trade sector, then the model multiplies the calculated figure by 2/3 to arrive at the gross income tax.  
 </t>
        </r>
      </text>
    </comment>
    <comment ref="T104" authorId="1">
      <text>
        <r>
          <rPr>
            <b/>
            <sz val="9"/>
            <color indexed="81"/>
            <rFont val="Tahoma"/>
            <family val="2"/>
          </rPr>
          <t>Riley Corr:</t>
        </r>
        <r>
          <rPr>
            <sz val="9"/>
            <color indexed="81"/>
            <rFont val="Tahoma"/>
            <family val="2"/>
          </rPr>
          <t xml:space="preserve">
This input is a direct link into the model and no calculations are performed.</t>
        </r>
      </text>
    </comment>
    <comment ref="T107" authorId="1">
      <text>
        <r>
          <rPr>
            <b/>
            <sz val="9"/>
            <color indexed="81"/>
            <rFont val="Tahoma"/>
            <family val="2"/>
          </rPr>
          <t>Riley Corr:</t>
        </r>
        <r>
          <rPr>
            <sz val="9"/>
            <color indexed="81"/>
            <rFont val="Tahoma"/>
            <family val="2"/>
          </rPr>
          <t xml:space="preserve">
The model assumes the construction cost for development is $300/psf. The property tax is calculated by multiplying this total construction costs (hard costs) by 3.00%. The model then takes the lower of the inputted value and the calculated value. </t>
        </r>
      </text>
    </comment>
    <comment ref="T115" authorId="1">
      <text>
        <r>
          <rPr>
            <b/>
            <sz val="9"/>
            <color indexed="81"/>
            <rFont val="Tahoma"/>
            <family val="2"/>
          </rPr>
          <t>Riley Corr:</t>
        </r>
        <r>
          <rPr>
            <sz val="9"/>
            <color indexed="81"/>
            <rFont val="Tahoma"/>
            <family val="2"/>
          </rPr>
          <t xml:space="preserve">
Urban Economic Zones (UEZ) receive tax breaks for construction spending. Thus, any development site that is in an UEZ should not include this lost tax revenue in the final net benefit figure. The one time spending tax is calculated by taking the construction value and multiplying it by 3.50%.
</t>
        </r>
      </text>
    </comment>
    <comment ref="T118" authorId="1">
      <text>
        <r>
          <rPr>
            <b/>
            <sz val="9"/>
            <color indexed="81"/>
            <rFont val="Tahoma"/>
            <family val="2"/>
          </rPr>
          <t>Riley Corr:</t>
        </r>
        <r>
          <rPr>
            <sz val="9"/>
            <color indexed="81"/>
            <rFont val="Tahoma"/>
            <family val="2"/>
          </rPr>
          <t xml:space="preserve">
The final net benefit award cannot be greater than 90.00% of the development costs of the project. This input is used a limiting factor in calculation of the final net benefit award.</t>
        </r>
      </text>
    </comment>
    <comment ref="T121" authorId="1">
      <text>
        <r>
          <rPr>
            <b/>
            <sz val="9"/>
            <color indexed="81"/>
            <rFont val="Tahoma"/>
            <family val="2"/>
          </rPr>
          <t>Riley Corr:</t>
        </r>
        <r>
          <rPr>
            <sz val="9"/>
            <color indexed="81"/>
            <rFont val="Tahoma"/>
            <family val="2"/>
          </rPr>
          <t xml:space="preserve">
Jobs associated with frieght or urban grocery stores receive a 25.00% bonus on the final net benefits award.</t>
        </r>
      </text>
    </comment>
  </commentList>
</comments>
</file>

<file path=xl/comments2.xml><?xml version="1.0" encoding="utf-8"?>
<comments xmlns="http://schemas.openxmlformats.org/spreadsheetml/2006/main">
  <authors>
    <author>ITS</author>
    <author>Default User</author>
  </authors>
  <commentList>
    <comment ref="Q38" authorId="0">
      <text>
        <r>
          <rPr>
            <b/>
            <sz val="9"/>
            <color indexed="81"/>
            <rFont val="Tahoma"/>
            <family val="2"/>
          </rPr>
          <t>Riley Corr:</t>
        </r>
        <r>
          <rPr>
            <sz val="9"/>
            <color indexed="81"/>
            <rFont val="Tahoma"/>
            <family val="2"/>
          </rPr>
          <t xml:space="preserve"> This should be pulling off the total number of actual jobs created as inputted by the user</t>
        </r>
      </text>
    </comment>
    <comment ref="Q44" authorId="0">
      <text>
        <r>
          <rPr>
            <b/>
            <sz val="12"/>
            <color indexed="81"/>
            <rFont val="Tahoma"/>
            <family val="2"/>
          </rPr>
          <t>ITS:</t>
        </r>
        <r>
          <rPr>
            <sz val="12"/>
            <color indexed="81"/>
            <rFont val="Tahoma"/>
            <family val="2"/>
          </rPr>
          <t xml:space="preserve">
Wage Tax should be 4.00% of Payroll</t>
        </r>
      </text>
    </comment>
    <comment ref="Q68" authorId="0">
      <text>
        <r>
          <rPr>
            <b/>
            <sz val="9"/>
            <color indexed="81"/>
            <rFont val="Tahoma"/>
            <family val="2"/>
          </rPr>
          <t>ITS:</t>
        </r>
        <r>
          <rPr>
            <sz val="9"/>
            <color indexed="81"/>
            <rFont val="Tahoma"/>
            <family val="2"/>
          </rPr>
          <t xml:space="preserve">
</t>
        </r>
        <r>
          <rPr>
            <sz val="14"/>
            <color indexed="81"/>
            <rFont val="Tahoma"/>
            <family val="2"/>
          </rPr>
          <t>see formula</t>
        </r>
      </text>
    </comment>
    <comment ref="Q100" authorId="1">
      <text>
        <r>
          <rPr>
            <b/>
            <sz val="9"/>
            <color indexed="81"/>
            <rFont val="Tahoma"/>
            <family val="2"/>
          </rPr>
          <t>Default User:</t>
        </r>
        <r>
          <rPr>
            <sz val="9"/>
            <color indexed="81"/>
            <rFont val="Tahoma"/>
            <family val="2"/>
          </rPr>
          <t xml:space="preserve">
='Cost Analysis2'!B78/1000000</t>
        </r>
      </text>
    </comment>
  </commentList>
</comments>
</file>

<file path=xl/sharedStrings.xml><?xml version="1.0" encoding="utf-8"?>
<sst xmlns="http://schemas.openxmlformats.org/spreadsheetml/2006/main" count="5343" uniqueCount="1682">
  <si>
    <t xml:space="preserve"> </t>
  </si>
  <si>
    <t>Final-demand Output /1/ (dollars)</t>
  </si>
  <si>
    <t>Final-demand Earnings /2/ (dollars)</t>
  </si>
  <si>
    <t>Final-demand Employment /3/ (jobs)</t>
  </si>
  <si>
    <t>Final-demand Value-added /4/ (dollars)</t>
  </si>
  <si>
    <t>Direct-effect Earnings /5/ (dollars)</t>
  </si>
  <si>
    <t>Direct-effect Employment /6/ (jobs)</t>
  </si>
  <si>
    <t>Atlantic</t>
  </si>
  <si>
    <t>Bergen</t>
  </si>
  <si>
    <t>Burlington</t>
  </si>
  <si>
    <t>Camden</t>
  </si>
  <si>
    <t>Cape May</t>
  </si>
  <si>
    <t>Cumberland</t>
  </si>
  <si>
    <t>Essex</t>
  </si>
  <si>
    <t>Gloucester</t>
  </si>
  <si>
    <t>Hudson</t>
  </si>
  <si>
    <t>Hunterdon</t>
  </si>
  <si>
    <t>Mercer</t>
  </si>
  <si>
    <t>Middlesex</t>
  </si>
  <si>
    <t>Monmouth</t>
  </si>
  <si>
    <t>Morris</t>
  </si>
  <si>
    <t>Ocean</t>
  </si>
  <si>
    <t>Passaic</t>
  </si>
  <si>
    <t>Salem</t>
  </si>
  <si>
    <t>Somerset</t>
  </si>
  <si>
    <t>Sussex</t>
  </si>
  <si>
    <t>Union</t>
  </si>
  <si>
    <t>Warren</t>
  </si>
  <si>
    <t>County Selection Box</t>
  </si>
  <si>
    <t>NJEDA Economic Impact Model</t>
  </si>
  <si>
    <t>One Time</t>
  </si>
  <si>
    <t>Total Jobs</t>
  </si>
  <si>
    <t>Sales Tax</t>
  </si>
  <si>
    <t>Construction Value</t>
  </si>
  <si>
    <t>County</t>
  </si>
  <si>
    <t>Sectors</t>
  </si>
  <si>
    <t>Net Profit Margin (mrq)</t>
  </si>
  <si>
    <t>Utilities</t>
  </si>
  <si>
    <t>Industrial Goods</t>
  </si>
  <si>
    <t>Services</t>
  </si>
  <si>
    <t>Basic Materials</t>
  </si>
  <si>
    <t>Consumer Goods</t>
  </si>
  <si>
    <t>Conglomerates</t>
  </si>
  <si>
    <t>Technology</t>
  </si>
  <si>
    <t>Healthcare</t>
  </si>
  <si>
    <t>Most Descriptive?</t>
  </si>
  <si>
    <t>CBT Tax - Profitability Estimator</t>
  </si>
  <si>
    <t>Operating</t>
  </si>
  <si>
    <t>Corporate Income Tax (CBT)</t>
  </si>
  <si>
    <t>Misc. State Tax Revenue</t>
  </si>
  <si>
    <t>Annual Net Benefit</t>
  </si>
  <si>
    <t>Gross Income Tax</t>
  </si>
  <si>
    <t>Muni Code</t>
  </si>
  <si>
    <t>Municipality</t>
  </si>
  <si>
    <t>Vacant Land</t>
  </si>
  <si>
    <t>Vacant Land Value</t>
  </si>
  <si>
    <t>Residential Parcels</t>
  </si>
  <si>
    <t>Residential Value</t>
  </si>
  <si>
    <t>Farm Homestead</t>
  </si>
  <si>
    <t>Farm Homestead Value</t>
  </si>
  <si>
    <t>Farm Land Parcels</t>
  </si>
  <si>
    <t>Farmland Value</t>
  </si>
  <si>
    <t>Non-residential Parcels</t>
  </si>
  <si>
    <t>Non-residential Value</t>
  </si>
  <si>
    <t>Commercial Parcels</t>
  </si>
  <si>
    <t>Commercial Value</t>
  </si>
  <si>
    <t>Industrial Parcels</t>
  </si>
  <si>
    <t>Industrial Value</t>
  </si>
  <si>
    <t>Apartment Parcels</t>
  </si>
  <si>
    <t>Apartment Value</t>
  </si>
  <si>
    <t>Total Parcels</t>
  </si>
  <si>
    <t>Total Value</t>
  </si>
  <si>
    <t>% Residential Value</t>
  </si>
  <si>
    <t>Residential, Farm Home  Parcels</t>
  </si>
  <si>
    <t>Value of Residential, Farm home &amp; apartment</t>
  </si>
  <si>
    <t xml:space="preserve">Average Value of  Residential, Farm Home </t>
  </si>
  <si>
    <t>% of Apartment Value</t>
  </si>
  <si>
    <t>0101</t>
  </si>
  <si>
    <t>Absecon City</t>
  </si>
  <si>
    <t>0102</t>
  </si>
  <si>
    <t>Atlantic City</t>
  </si>
  <si>
    <t>0103</t>
  </si>
  <si>
    <t>Brigantine City</t>
  </si>
  <si>
    <t>0104</t>
  </si>
  <si>
    <t>Buena Borough</t>
  </si>
  <si>
    <t>0105</t>
  </si>
  <si>
    <t>Buena Vista Township</t>
  </si>
  <si>
    <t>0106</t>
  </si>
  <si>
    <t>Corbin City</t>
  </si>
  <si>
    <t>0107</t>
  </si>
  <si>
    <t>Egg Harbor City</t>
  </si>
  <si>
    <t>0108</t>
  </si>
  <si>
    <t>Egg Harbor Township</t>
  </si>
  <si>
    <t>0109</t>
  </si>
  <si>
    <t>Estell Manor City</t>
  </si>
  <si>
    <t>0110</t>
  </si>
  <si>
    <t>Folsom Borough</t>
  </si>
  <si>
    <t>0111</t>
  </si>
  <si>
    <t>Galloway Township</t>
  </si>
  <si>
    <t>0112</t>
  </si>
  <si>
    <t>Hamilton Township</t>
  </si>
  <si>
    <t>0113</t>
  </si>
  <si>
    <t>Hammonton Town</t>
  </si>
  <si>
    <t>0114</t>
  </si>
  <si>
    <t>Linwood City</t>
  </si>
  <si>
    <t>0115</t>
  </si>
  <si>
    <t>Longport Borough</t>
  </si>
  <si>
    <t>0116</t>
  </si>
  <si>
    <t>Margate City</t>
  </si>
  <si>
    <t>0117</t>
  </si>
  <si>
    <t>Mullica Township</t>
  </si>
  <si>
    <t>0118</t>
  </si>
  <si>
    <t>Northfield City</t>
  </si>
  <si>
    <t>0119</t>
  </si>
  <si>
    <t>Pleasantville City</t>
  </si>
  <si>
    <t>0120</t>
  </si>
  <si>
    <t>Port Republic City</t>
  </si>
  <si>
    <t>0121</t>
  </si>
  <si>
    <t>Somers Point City</t>
  </si>
  <si>
    <t>0122</t>
  </si>
  <si>
    <t>Ventnor City</t>
  </si>
  <si>
    <t>0123</t>
  </si>
  <si>
    <t>Weymouth Township</t>
  </si>
  <si>
    <t>0201</t>
  </si>
  <si>
    <t>Allendale Borough</t>
  </si>
  <si>
    <t>0202</t>
  </si>
  <si>
    <t>Alpine Borough</t>
  </si>
  <si>
    <t>0203</t>
  </si>
  <si>
    <t>Bergenfield Borough</t>
  </si>
  <si>
    <t>0204</t>
  </si>
  <si>
    <t>Bogota Borough</t>
  </si>
  <si>
    <t>0205</t>
  </si>
  <si>
    <t>Carlstadt Borough</t>
  </si>
  <si>
    <t>0206</t>
  </si>
  <si>
    <t>Cliffside Park Borough</t>
  </si>
  <si>
    <t>0207</t>
  </si>
  <si>
    <t>Closter Borough</t>
  </si>
  <si>
    <t>0208</t>
  </si>
  <si>
    <t>Cresskill Borough</t>
  </si>
  <si>
    <t>0209</t>
  </si>
  <si>
    <t>Demarest Borough</t>
  </si>
  <si>
    <t>0210</t>
  </si>
  <si>
    <t>Dumont Borough</t>
  </si>
  <si>
    <t>0211</t>
  </si>
  <si>
    <t>Elmwood Park Borough</t>
  </si>
  <si>
    <t>0212</t>
  </si>
  <si>
    <t>East Rutherford Borough</t>
  </si>
  <si>
    <t>0213</t>
  </si>
  <si>
    <t>Edgewater Borough</t>
  </si>
  <si>
    <t>0214</t>
  </si>
  <si>
    <t>Emerson Borough</t>
  </si>
  <si>
    <t>0215</t>
  </si>
  <si>
    <t>Englewood City</t>
  </si>
  <si>
    <t>0216</t>
  </si>
  <si>
    <t>Englewood Cliffs Borough</t>
  </si>
  <si>
    <t>0217</t>
  </si>
  <si>
    <t>Fair Lawn Borough</t>
  </si>
  <si>
    <t>0218</t>
  </si>
  <si>
    <t>Fairview Borough</t>
  </si>
  <si>
    <t>0219</t>
  </si>
  <si>
    <t>Fort Lee Borough</t>
  </si>
  <si>
    <t>0220</t>
  </si>
  <si>
    <t>Franklin Lakes Borough</t>
  </si>
  <si>
    <t>0221</t>
  </si>
  <si>
    <t>Garfield City</t>
  </si>
  <si>
    <t>0222</t>
  </si>
  <si>
    <t>Glen Rock Borough</t>
  </si>
  <si>
    <t>0223</t>
  </si>
  <si>
    <t>Hackensack City</t>
  </si>
  <si>
    <t>0224</t>
  </si>
  <si>
    <t>Harrington Park Borough</t>
  </si>
  <si>
    <t>0225</t>
  </si>
  <si>
    <t>Hasbrouck Heights Borough</t>
  </si>
  <si>
    <t>0226</t>
  </si>
  <si>
    <t>Haworth Borough</t>
  </si>
  <si>
    <t>0227</t>
  </si>
  <si>
    <t>Hillsdale Borough</t>
  </si>
  <si>
    <t>0228</t>
  </si>
  <si>
    <t>Ho-Ho-Kus Borough</t>
  </si>
  <si>
    <t>0229</t>
  </si>
  <si>
    <t>Leonia Borough</t>
  </si>
  <si>
    <t>0230</t>
  </si>
  <si>
    <t>Little Ferry Borough</t>
  </si>
  <si>
    <t>0231</t>
  </si>
  <si>
    <t>Lodi Borough</t>
  </si>
  <si>
    <t>0232</t>
  </si>
  <si>
    <t>Lyndhurst Township</t>
  </si>
  <si>
    <t>0233</t>
  </si>
  <si>
    <t>Mahwah Township</t>
  </si>
  <si>
    <t>0234</t>
  </si>
  <si>
    <t>Maywood Borough</t>
  </si>
  <si>
    <t>0235</t>
  </si>
  <si>
    <t>Midland Park Borough</t>
  </si>
  <si>
    <t>0236</t>
  </si>
  <si>
    <t>Montvale Borough</t>
  </si>
  <si>
    <t>0237</t>
  </si>
  <si>
    <t>Moonachie Borough</t>
  </si>
  <si>
    <t>0238</t>
  </si>
  <si>
    <t>New Milford Borough</t>
  </si>
  <si>
    <t>0239</t>
  </si>
  <si>
    <t>North Arlington Borough</t>
  </si>
  <si>
    <t>0240</t>
  </si>
  <si>
    <t>Northvale Borough</t>
  </si>
  <si>
    <t>0241</t>
  </si>
  <si>
    <t>Norwood Borough</t>
  </si>
  <si>
    <t>0242</t>
  </si>
  <si>
    <t>Oakland Borough</t>
  </si>
  <si>
    <t>0243</t>
  </si>
  <si>
    <t>Old Tappan Borough</t>
  </si>
  <si>
    <t>0244</t>
  </si>
  <si>
    <t>Oradell Borough</t>
  </si>
  <si>
    <t>0245</t>
  </si>
  <si>
    <t>Palisades Park Borough</t>
  </si>
  <si>
    <t>0246</t>
  </si>
  <si>
    <t>Paramus Borough</t>
  </si>
  <si>
    <t>0247</t>
  </si>
  <si>
    <t>Park Ridge Borough</t>
  </si>
  <si>
    <t>0248</t>
  </si>
  <si>
    <t>Ramsey Borough</t>
  </si>
  <si>
    <t>0249</t>
  </si>
  <si>
    <t>Ridgefield Borough</t>
  </si>
  <si>
    <t>0250</t>
  </si>
  <si>
    <t>Ridgefield Park Village</t>
  </si>
  <si>
    <t>0251</t>
  </si>
  <si>
    <t>Ridgewood Village</t>
  </si>
  <si>
    <t>0252</t>
  </si>
  <si>
    <t>River Edge Borough</t>
  </si>
  <si>
    <t>0253</t>
  </si>
  <si>
    <t>River Vale Township</t>
  </si>
  <si>
    <t>0254</t>
  </si>
  <si>
    <t>Rochelle Park Township</t>
  </si>
  <si>
    <t>0255</t>
  </si>
  <si>
    <t>Rockleigh Borough</t>
  </si>
  <si>
    <t>0256</t>
  </si>
  <si>
    <t>Rutherford Borough</t>
  </si>
  <si>
    <t>0257</t>
  </si>
  <si>
    <t>Saddle Brook Township</t>
  </si>
  <si>
    <t>0258</t>
  </si>
  <si>
    <t>Saddle River Borough</t>
  </si>
  <si>
    <t>0259</t>
  </si>
  <si>
    <t>South Hackensack Township</t>
  </si>
  <si>
    <t>0260</t>
  </si>
  <si>
    <t>Teaneck Township</t>
  </si>
  <si>
    <t>0261</t>
  </si>
  <si>
    <t>Tenafly Borough</t>
  </si>
  <si>
    <t>0262</t>
  </si>
  <si>
    <t>Teterboro Borough</t>
  </si>
  <si>
    <t>0263</t>
  </si>
  <si>
    <t>Upper Saddle River Borough</t>
  </si>
  <si>
    <t>0264</t>
  </si>
  <si>
    <t>Waldwick Borough</t>
  </si>
  <si>
    <t>0265</t>
  </si>
  <si>
    <t>Wallington Borough</t>
  </si>
  <si>
    <t>0266</t>
  </si>
  <si>
    <t>Washington Township</t>
  </si>
  <si>
    <t>0267</t>
  </si>
  <si>
    <t>Westwood Borough</t>
  </si>
  <si>
    <t>0268</t>
  </si>
  <si>
    <t>Woodcliff Lake Borough</t>
  </si>
  <si>
    <t>0269</t>
  </si>
  <si>
    <t>Wood-Ridge Borough</t>
  </si>
  <si>
    <t>0270</t>
  </si>
  <si>
    <t>Wyckoff Township</t>
  </si>
  <si>
    <t>0301</t>
  </si>
  <si>
    <t>Bass River Township</t>
  </si>
  <si>
    <t>0302</t>
  </si>
  <si>
    <t>Beverly City</t>
  </si>
  <si>
    <t>0303</t>
  </si>
  <si>
    <t>Bordentown City</t>
  </si>
  <si>
    <t>0304</t>
  </si>
  <si>
    <t>Bordentown Township</t>
  </si>
  <si>
    <t>0305</t>
  </si>
  <si>
    <t>Burlington City</t>
  </si>
  <si>
    <t>0306</t>
  </si>
  <si>
    <t>Burlington Township</t>
  </si>
  <si>
    <t>0307</t>
  </si>
  <si>
    <t>Chesterfield Township</t>
  </si>
  <si>
    <t>0308</t>
  </si>
  <si>
    <t>Cinnaminson Township</t>
  </si>
  <si>
    <t>0309</t>
  </si>
  <si>
    <t>Delanco Township</t>
  </si>
  <si>
    <t>0310</t>
  </si>
  <si>
    <t>Delran Township</t>
  </si>
  <si>
    <t>0311</t>
  </si>
  <si>
    <t>Eastampton Township</t>
  </si>
  <si>
    <t>0312</t>
  </si>
  <si>
    <t>Edgewater Park Township</t>
  </si>
  <si>
    <t>0313</t>
  </si>
  <si>
    <t>Evesham Township</t>
  </si>
  <si>
    <t>0314</t>
  </si>
  <si>
    <t>Fieldsboro Borough</t>
  </si>
  <si>
    <t>0315</t>
  </si>
  <si>
    <t>Florence Township</t>
  </si>
  <si>
    <t>0316</t>
  </si>
  <si>
    <t>Hainesport Township</t>
  </si>
  <si>
    <t>0317</t>
  </si>
  <si>
    <t>Lumberton Township</t>
  </si>
  <si>
    <t>0318</t>
  </si>
  <si>
    <t>Mansfield Township</t>
  </si>
  <si>
    <t>0319</t>
  </si>
  <si>
    <t>Maple Shade Borough</t>
  </si>
  <si>
    <t>0320</t>
  </si>
  <si>
    <t>Medford Township</t>
  </si>
  <si>
    <t>0321</t>
  </si>
  <si>
    <t>Medford Lakes Borough</t>
  </si>
  <si>
    <t>0322</t>
  </si>
  <si>
    <t>Moorestown Township</t>
  </si>
  <si>
    <t>0323</t>
  </si>
  <si>
    <t>Mount Holly Township</t>
  </si>
  <si>
    <t>0324</t>
  </si>
  <si>
    <t>Mount Laurel Township</t>
  </si>
  <si>
    <t>0325</t>
  </si>
  <si>
    <t>New Hanover Township</t>
  </si>
  <si>
    <t>0326</t>
  </si>
  <si>
    <t>North Hanover Township</t>
  </si>
  <si>
    <t>0327</t>
  </si>
  <si>
    <t>Palmyra Borough</t>
  </si>
  <si>
    <t>0328</t>
  </si>
  <si>
    <t>Pemberton Borough</t>
  </si>
  <si>
    <t>0329</t>
  </si>
  <si>
    <t>Pemberton Township</t>
  </si>
  <si>
    <t>0330</t>
  </si>
  <si>
    <t>Riverside Township</t>
  </si>
  <si>
    <t>0331</t>
  </si>
  <si>
    <t>Riverton Borough</t>
  </si>
  <si>
    <t>0332</t>
  </si>
  <si>
    <t>Shamong Township</t>
  </si>
  <si>
    <t>0333</t>
  </si>
  <si>
    <t>Southampton Township</t>
  </si>
  <si>
    <t>0334</t>
  </si>
  <si>
    <t>Springfield Township</t>
  </si>
  <si>
    <t>0335</t>
  </si>
  <si>
    <t>Tabernacle Township</t>
  </si>
  <si>
    <t>0336</t>
  </si>
  <si>
    <t>0337</t>
  </si>
  <si>
    <t>Westampton Township</t>
  </si>
  <si>
    <t>0338</t>
  </si>
  <si>
    <t>Willingboro Township</t>
  </si>
  <si>
    <t>0339</t>
  </si>
  <si>
    <t>Woodland Township</t>
  </si>
  <si>
    <t>0340</t>
  </si>
  <si>
    <t>Wrightstown Borough</t>
  </si>
  <si>
    <t>0401</t>
  </si>
  <si>
    <t>Audubon Borough</t>
  </si>
  <si>
    <t>0402</t>
  </si>
  <si>
    <t>Audubon Park Borough</t>
  </si>
  <si>
    <t>0403</t>
  </si>
  <si>
    <t>Barrington Borough</t>
  </si>
  <si>
    <t>0404</t>
  </si>
  <si>
    <t>Bellmawr Borough</t>
  </si>
  <si>
    <t>0405</t>
  </si>
  <si>
    <t>Berlin Borough</t>
  </si>
  <si>
    <t>0406</t>
  </si>
  <si>
    <t>Berlin Township</t>
  </si>
  <si>
    <t>0407</t>
  </si>
  <si>
    <t>Brooklawn Borough</t>
  </si>
  <si>
    <t>0408</t>
  </si>
  <si>
    <t>Camden City</t>
  </si>
  <si>
    <t>0409</t>
  </si>
  <si>
    <t>Cherry Hill Township</t>
  </si>
  <si>
    <t>0410</t>
  </si>
  <si>
    <t>Chesilhurst Borough</t>
  </si>
  <si>
    <t>0411</t>
  </si>
  <si>
    <t>Clementon Borough</t>
  </si>
  <si>
    <t>0412</t>
  </si>
  <si>
    <t>Collingswood Borough</t>
  </si>
  <si>
    <t>0413</t>
  </si>
  <si>
    <t>Gibbsboro Borough</t>
  </si>
  <si>
    <t>0414</t>
  </si>
  <si>
    <t>Gloucester City</t>
  </si>
  <si>
    <t>0415</t>
  </si>
  <si>
    <t>Gloucester Township</t>
  </si>
  <si>
    <t>0416</t>
  </si>
  <si>
    <t>Haddon Township</t>
  </si>
  <si>
    <t>0417</t>
  </si>
  <si>
    <t>Haddonfield Borough</t>
  </si>
  <si>
    <t>0418</t>
  </si>
  <si>
    <t>Haddon Heights Borough</t>
  </si>
  <si>
    <t>0419</t>
  </si>
  <si>
    <t>Hi-nella Borough</t>
  </si>
  <si>
    <t>0420</t>
  </si>
  <si>
    <t>Laurel Springs Borough</t>
  </si>
  <si>
    <t>0421</t>
  </si>
  <si>
    <t>Lawnside Borough</t>
  </si>
  <si>
    <t>0422</t>
  </si>
  <si>
    <t>Lindenwold Borough</t>
  </si>
  <si>
    <t>0423</t>
  </si>
  <si>
    <t>Magnolia Borough</t>
  </si>
  <si>
    <t>0424</t>
  </si>
  <si>
    <t>Merchantville Borough</t>
  </si>
  <si>
    <t>0425</t>
  </si>
  <si>
    <t>Mount Ephraim Borough</t>
  </si>
  <si>
    <t>0426</t>
  </si>
  <si>
    <t>Oaklyn Borough</t>
  </si>
  <si>
    <t>0427</t>
  </si>
  <si>
    <t>Pennsauken Township</t>
  </si>
  <si>
    <t>0428</t>
  </si>
  <si>
    <t>Pine Hill Borough</t>
  </si>
  <si>
    <t>0429</t>
  </si>
  <si>
    <t>Pine Valley Borough</t>
  </si>
  <si>
    <t>0430</t>
  </si>
  <si>
    <t>Runnemede Borough</t>
  </si>
  <si>
    <t>0431</t>
  </si>
  <si>
    <t>Somerdale Borough</t>
  </si>
  <si>
    <t>0432</t>
  </si>
  <si>
    <t>Stratford Borough</t>
  </si>
  <si>
    <t>0433</t>
  </si>
  <si>
    <t>Tavistock Borough</t>
  </si>
  <si>
    <t>0434</t>
  </si>
  <si>
    <t>Voorhees Township</t>
  </si>
  <si>
    <t>0435</t>
  </si>
  <si>
    <t>Waterford Township</t>
  </si>
  <si>
    <t>0436</t>
  </si>
  <si>
    <t>Winslow Township</t>
  </si>
  <si>
    <t>0437</t>
  </si>
  <si>
    <t>Woodlynne Borough</t>
  </si>
  <si>
    <t>0501</t>
  </si>
  <si>
    <t>Avalon Borough</t>
  </si>
  <si>
    <t>0502</t>
  </si>
  <si>
    <t>Cape May City</t>
  </si>
  <si>
    <t>0503</t>
  </si>
  <si>
    <t>Cape May Point Borough</t>
  </si>
  <si>
    <t>0504</t>
  </si>
  <si>
    <t>Dennis Township</t>
  </si>
  <si>
    <t>0505</t>
  </si>
  <si>
    <t>Lower Township</t>
  </si>
  <si>
    <t>0506</t>
  </si>
  <si>
    <t>Middle Township</t>
  </si>
  <si>
    <t>0507</t>
  </si>
  <si>
    <t>North Wildwood City</t>
  </si>
  <si>
    <t>0508</t>
  </si>
  <si>
    <t>Ocean City</t>
  </si>
  <si>
    <t>0509</t>
  </si>
  <si>
    <t>Sea Isle City</t>
  </si>
  <si>
    <t>0510</t>
  </si>
  <si>
    <t>Stone Harbor Borough</t>
  </si>
  <si>
    <t>0511</t>
  </si>
  <si>
    <t>Upper Township</t>
  </si>
  <si>
    <t>0512</t>
  </si>
  <si>
    <t>West Cape May Borough</t>
  </si>
  <si>
    <t>0513</t>
  </si>
  <si>
    <t>West Wildwood Borough</t>
  </si>
  <si>
    <t>0514</t>
  </si>
  <si>
    <t>Wildwood City</t>
  </si>
  <si>
    <t>0515</t>
  </si>
  <si>
    <t>Wildwood Crest Borough</t>
  </si>
  <si>
    <t>0516</t>
  </si>
  <si>
    <t>Woodbine Borough</t>
  </si>
  <si>
    <t>0601</t>
  </si>
  <si>
    <t>Bridgeton City</t>
  </si>
  <si>
    <t>0602</t>
  </si>
  <si>
    <t>Commercial Township</t>
  </si>
  <si>
    <t>0603</t>
  </si>
  <si>
    <t>Deerfield Township</t>
  </si>
  <si>
    <t>0604</t>
  </si>
  <si>
    <t>Downe Township</t>
  </si>
  <si>
    <t>0605</t>
  </si>
  <si>
    <t>Fairfield Township</t>
  </si>
  <si>
    <t>0606</t>
  </si>
  <si>
    <t>Greenwich Township</t>
  </si>
  <si>
    <t>0607</t>
  </si>
  <si>
    <t>Hopewell Township</t>
  </si>
  <si>
    <t>0608</t>
  </si>
  <si>
    <t>Lawrence Township</t>
  </si>
  <si>
    <t>0609</t>
  </si>
  <si>
    <t>Maurice River Township</t>
  </si>
  <si>
    <t>0610</t>
  </si>
  <si>
    <t>Millville City</t>
  </si>
  <si>
    <t>0611</t>
  </si>
  <si>
    <t>Shiloh Borough</t>
  </si>
  <si>
    <t>0612</t>
  </si>
  <si>
    <t>Stow Creek Township</t>
  </si>
  <si>
    <t>0613</t>
  </si>
  <si>
    <t>Upper Deerfield Township</t>
  </si>
  <si>
    <t>0614</t>
  </si>
  <si>
    <t>Vineland City</t>
  </si>
  <si>
    <t>0701</t>
  </si>
  <si>
    <t>Belleville Township</t>
  </si>
  <si>
    <t>0702</t>
  </si>
  <si>
    <t>Bloomfield Township</t>
  </si>
  <si>
    <t>0703</t>
  </si>
  <si>
    <t>Caldwell Borough</t>
  </si>
  <si>
    <t>0704</t>
  </si>
  <si>
    <t>Cedar Grove Township</t>
  </si>
  <si>
    <t>0705</t>
  </si>
  <si>
    <t>East Orange City</t>
  </si>
  <si>
    <t>0706</t>
  </si>
  <si>
    <t>Essex Fells Borough</t>
  </si>
  <si>
    <t>0707</t>
  </si>
  <si>
    <t>0708</t>
  </si>
  <si>
    <t>Glen Ridge Borough</t>
  </si>
  <si>
    <t>0709</t>
  </si>
  <si>
    <t>Irvington Township</t>
  </si>
  <si>
    <t>0710</t>
  </si>
  <si>
    <t>Livingston Township</t>
  </si>
  <si>
    <t>0711</t>
  </si>
  <si>
    <t>Maplewood Township</t>
  </si>
  <si>
    <t>0712</t>
  </si>
  <si>
    <t>Millburn Township</t>
  </si>
  <si>
    <t>0713</t>
  </si>
  <si>
    <t>Montclair Township</t>
  </si>
  <si>
    <t>0714</t>
  </si>
  <si>
    <t>Newark City</t>
  </si>
  <si>
    <t>0715</t>
  </si>
  <si>
    <t>North Caldwell Borough</t>
  </si>
  <si>
    <t>0716</t>
  </si>
  <si>
    <t>Nutley Township</t>
  </si>
  <si>
    <t>0717</t>
  </si>
  <si>
    <t>Orange City</t>
  </si>
  <si>
    <t>0718</t>
  </si>
  <si>
    <t>Roseland Borough</t>
  </si>
  <si>
    <t>0719</t>
  </si>
  <si>
    <t>South Orange Village</t>
  </si>
  <si>
    <t>0720</t>
  </si>
  <si>
    <t>Verona Township</t>
  </si>
  <si>
    <t>0721</t>
  </si>
  <si>
    <t>West Caldwell Township</t>
  </si>
  <si>
    <t>0722</t>
  </si>
  <si>
    <t>West Orange Township</t>
  </si>
  <si>
    <t>0801</t>
  </si>
  <si>
    <t>Clayton Borough</t>
  </si>
  <si>
    <t>0802</t>
  </si>
  <si>
    <t>Deptford Township</t>
  </si>
  <si>
    <t>0803</t>
  </si>
  <si>
    <t>East Greenwich Township</t>
  </si>
  <si>
    <t>0804</t>
  </si>
  <si>
    <t>Elk Township</t>
  </si>
  <si>
    <t>0805</t>
  </si>
  <si>
    <t>Franklin Township</t>
  </si>
  <si>
    <t>0806</t>
  </si>
  <si>
    <t>Glassboro Borough</t>
  </si>
  <si>
    <t>0807</t>
  </si>
  <si>
    <t>0808</t>
  </si>
  <si>
    <t>Harrison Township</t>
  </si>
  <si>
    <t>0809</t>
  </si>
  <si>
    <t>Logan Township</t>
  </si>
  <si>
    <t>0810</t>
  </si>
  <si>
    <t>Mantua Township</t>
  </si>
  <si>
    <t>0811</t>
  </si>
  <si>
    <t>Monroe Township</t>
  </si>
  <si>
    <t>0812</t>
  </si>
  <si>
    <t>National Park Borough</t>
  </si>
  <si>
    <t>0813</t>
  </si>
  <si>
    <t>Newfield Borough</t>
  </si>
  <si>
    <t>0814</t>
  </si>
  <si>
    <t>Paulsboro Borough</t>
  </si>
  <si>
    <t>0815</t>
  </si>
  <si>
    <t>Pitman Borough</t>
  </si>
  <si>
    <t>0816</t>
  </si>
  <si>
    <t>South Harrison Township</t>
  </si>
  <si>
    <t>0817</t>
  </si>
  <si>
    <t>Swedesboro Borough</t>
  </si>
  <si>
    <t>0818</t>
  </si>
  <si>
    <t>0819</t>
  </si>
  <si>
    <t>Wenonah Borough</t>
  </si>
  <si>
    <t>0820</t>
  </si>
  <si>
    <t>West Deptford Township</t>
  </si>
  <si>
    <t>0821</t>
  </si>
  <si>
    <t>Westville Borough</t>
  </si>
  <si>
    <t>0822</t>
  </si>
  <si>
    <t>Woodbury City</t>
  </si>
  <si>
    <t>0823</t>
  </si>
  <si>
    <t>Woodbury Heights Borough</t>
  </si>
  <si>
    <t>0824</t>
  </si>
  <si>
    <t>Woolwich Township</t>
  </si>
  <si>
    <t>0901</t>
  </si>
  <si>
    <t>Bayonne City</t>
  </si>
  <si>
    <t>0902</t>
  </si>
  <si>
    <t>East Newark Borough</t>
  </si>
  <si>
    <t>0903</t>
  </si>
  <si>
    <t>Guttenberg Town</t>
  </si>
  <si>
    <t>0904</t>
  </si>
  <si>
    <t>Harrison Town</t>
  </si>
  <si>
    <t>0905</t>
  </si>
  <si>
    <t>Hoboken City</t>
  </si>
  <si>
    <t>0906</t>
  </si>
  <si>
    <t>Jersey City</t>
  </si>
  <si>
    <t>0907</t>
  </si>
  <si>
    <t>Kearny Town</t>
  </si>
  <si>
    <t>0908</t>
  </si>
  <si>
    <t>North Bergen Township</t>
  </si>
  <si>
    <t>0909</t>
  </si>
  <si>
    <t>Secaucus Town</t>
  </si>
  <si>
    <t>0910</t>
  </si>
  <si>
    <t>Union City</t>
  </si>
  <si>
    <t>0911</t>
  </si>
  <si>
    <t>Weehawken Township</t>
  </si>
  <si>
    <t>0912</t>
  </si>
  <si>
    <t>West New York Town</t>
  </si>
  <si>
    <t>1001</t>
  </si>
  <si>
    <t>Alexandria Township</t>
  </si>
  <si>
    <t>1002</t>
  </si>
  <si>
    <t>Bethlehem Township</t>
  </si>
  <si>
    <t>1003</t>
  </si>
  <si>
    <t>Bloomsbury Borough</t>
  </si>
  <si>
    <t>1004</t>
  </si>
  <si>
    <t>Califon Borough</t>
  </si>
  <si>
    <t>1005</t>
  </si>
  <si>
    <t>Clinton Town</t>
  </si>
  <si>
    <t>1006</t>
  </si>
  <si>
    <t>Clinton Township</t>
  </si>
  <si>
    <t>1007</t>
  </si>
  <si>
    <t>Delaware Township</t>
  </si>
  <si>
    <t>1008</t>
  </si>
  <si>
    <t>East Amwell Township</t>
  </si>
  <si>
    <t>1009</t>
  </si>
  <si>
    <t>Flemington Borough</t>
  </si>
  <si>
    <t>1010</t>
  </si>
  <si>
    <t>1011</t>
  </si>
  <si>
    <t>Frenchtown Borough</t>
  </si>
  <si>
    <t>1012</t>
  </si>
  <si>
    <t>Glen Gardner Borough</t>
  </si>
  <si>
    <t>1013</t>
  </si>
  <si>
    <t>Hampton Borough</t>
  </si>
  <si>
    <t>1014</t>
  </si>
  <si>
    <t>High Bridge Borough</t>
  </si>
  <si>
    <t>1015</t>
  </si>
  <si>
    <t>Holland Township</t>
  </si>
  <si>
    <t>1016</t>
  </si>
  <si>
    <t>Kingwood Township</t>
  </si>
  <si>
    <t>1017</t>
  </si>
  <si>
    <t>Lambertville City</t>
  </si>
  <si>
    <t>1018</t>
  </si>
  <si>
    <t>Lebanon Borough</t>
  </si>
  <si>
    <t>1019</t>
  </si>
  <si>
    <t>Lebanon Township</t>
  </si>
  <si>
    <t>1020</t>
  </si>
  <si>
    <t>Milford Borough</t>
  </si>
  <si>
    <t>1021</t>
  </si>
  <si>
    <t>Raritan Township</t>
  </si>
  <si>
    <t>1022</t>
  </si>
  <si>
    <t>Readington Township</t>
  </si>
  <si>
    <t>1023</t>
  </si>
  <si>
    <t>Stockton Borough</t>
  </si>
  <si>
    <t>1024</t>
  </si>
  <si>
    <t>Tewksbury Township</t>
  </si>
  <si>
    <t>1025</t>
  </si>
  <si>
    <t>Union Township</t>
  </si>
  <si>
    <t>1026</t>
  </si>
  <si>
    <t>West Amwell Township</t>
  </si>
  <si>
    <t>1101</t>
  </si>
  <si>
    <t>East Windsor Township</t>
  </si>
  <si>
    <t>1102</t>
  </si>
  <si>
    <t>Ewing Township</t>
  </si>
  <si>
    <t>1103</t>
  </si>
  <si>
    <t>1104</t>
  </si>
  <si>
    <t>Hightstown Borough</t>
  </si>
  <si>
    <t>1105</t>
  </si>
  <si>
    <t>Hopewell Borough</t>
  </si>
  <si>
    <t>1106</t>
  </si>
  <si>
    <t>1107</t>
  </si>
  <si>
    <t>1108</t>
  </si>
  <si>
    <t>Pennington Borough</t>
  </si>
  <si>
    <t>1109</t>
  </si>
  <si>
    <t>Princeton Borough</t>
  </si>
  <si>
    <t>1110</t>
  </si>
  <si>
    <t>Princeton Township</t>
  </si>
  <si>
    <t>1111</t>
  </si>
  <si>
    <t>Trenton City</t>
  </si>
  <si>
    <t>1112</t>
  </si>
  <si>
    <t>Robbinsville Township</t>
  </si>
  <si>
    <t>1113</t>
  </si>
  <si>
    <t>West Windsor Township</t>
  </si>
  <si>
    <t>1201</t>
  </si>
  <si>
    <t>Carteret Borough</t>
  </si>
  <si>
    <t>1202</t>
  </si>
  <si>
    <t>Cranbury Township</t>
  </si>
  <si>
    <t>1203</t>
  </si>
  <si>
    <t>Dunellen Borough</t>
  </si>
  <si>
    <t>1204</t>
  </si>
  <si>
    <t>East Brunswick Township</t>
  </si>
  <si>
    <t>1205</t>
  </si>
  <si>
    <t>Edison Township</t>
  </si>
  <si>
    <t>1206</t>
  </si>
  <si>
    <t>Helmetta Borough</t>
  </si>
  <si>
    <t>1207</t>
  </si>
  <si>
    <t>Highland Park Borough</t>
  </si>
  <si>
    <t>1208</t>
  </si>
  <si>
    <t>Jamesburg Borough</t>
  </si>
  <si>
    <t>1209</t>
  </si>
  <si>
    <t>Old Bridge Township</t>
  </si>
  <si>
    <t>1210</t>
  </si>
  <si>
    <t>Metuchen Borough</t>
  </si>
  <si>
    <t>1211</t>
  </si>
  <si>
    <t>Middlesex Borough</t>
  </si>
  <si>
    <t>1212</t>
  </si>
  <si>
    <t>Milltown Borough</t>
  </si>
  <si>
    <t>1213</t>
  </si>
  <si>
    <t>1214</t>
  </si>
  <si>
    <t>New Brunswick City</t>
  </si>
  <si>
    <t>1215</t>
  </si>
  <si>
    <t>North Brunswick Township</t>
  </si>
  <si>
    <t>1216</t>
  </si>
  <si>
    <t>Perth Amboy City</t>
  </si>
  <si>
    <t>1217</t>
  </si>
  <si>
    <t>Piscataway Township</t>
  </si>
  <si>
    <t>1218</t>
  </si>
  <si>
    <t>Plainsboro Township</t>
  </si>
  <si>
    <t>1219</t>
  </si>
  <si>
    <t>Sayreville Borough</t>
  </si>
  <si>
    <t>1220</t>
  </si>
  <si>
    <t>South Amboy City</t>
  </si>
  <si>
    <t>1221</t>
  </si>
  <si>
    <t>South Brunswick Township</t>
  </si>
  <si>
    <t>1222</t>
  </si>
  <si>
    <t>South Plainfield Borough</t>
  </si>
  <si>
    <t>1223</t>
  </si>
  <si>
    <t>South River Borough</t>
  </si>
  <si>
    <t>1224</t>
  </si>
  <si>
    <t>Spotswood Borough</t>
  </si>
  <si>
    <t>1225</t>
  </si>
  <si>
    <t>Woodbridge Township</t>
  </si>
  <si>
    <t>1301</t>
  </si>
  <si>
    <t>Allenhurst Borough</t>
  </si>
  <si>
    <t>1302</t>
  </si>
  <si>
    <t>Allentown Borough</t>
  </si>
  <si>
    <t>1303</t>
  </si>
  <si>
    <t>Asbury Park City</t>
  </si>
  <si>
    <t>1304</t>
  </si>
  <si>
    <t>Atlantic Highlands Borough</t>
  </si>
  <si>
    <t>1305</t>
  </si>
  <si>
    <t>Avon-by-the-Sea Borough</t>
  </si>
  <si>
    <t>1306</t>
  </si>
  <si>
    <t>Belmar Borough</t>
  </si>
  <si>
    <t>1307</t>
  </si>
  <si>
    <t>Bradley Beach Borough</t>
  </si>
  <si>
    <t>1308</t>
  </si>
  <si>
    <t>Brielle Borough</t>
  </si>
  <si>
    <t>1309</t>
  </si>
  <si>
    <t>Colts Neck Township</t>
  </si>
  <si>
    <t>1310</t>
  </si>
  <si>
    <t>Deal Borough</t>
  </si>
  <si>
    <t>1311</t>
  </si>
  <si>
    <t>Eatontown Borough</t>
  </si>
  <si>
    <t>1312</t>
  </si>
  <si>
    <t>Englishtown Borough</t>
  </si>
  <si>
    <t>1313</t>
  </si>
  <si>
    <t>Fair Haven Borough</t>
  </si>
  <si>
    <t>1314</t>
  </si>
  <si>
    <t>Farmingdale Borough</t>
  </si>
  <si>
    <t>1315</t>
  </si>
  <si>
    <t>Freehold Borough</t>
  </si>
  <si>
    <t>1316</t>
  </si>
  <si>
    <t>Freehold Township</t>
  </si>
  <si>
    <t>1317</t>
  </si>
  <si>
    <t>Highlands Borough</t>
  </si>
  <si>
    <t>1318</t>
  </si>
  <si>
    <t>Holmdel Township</t>
  </si>
  <si>
    <t>1319</t>
  </si>
  <si>
    <t>Howell Township</t>
  </si>
  <si>
    <t>1320</t>
  </si>
  <si>
    <t>Interlaken Borough</t>
  </si>
  <si>
    <t>1321</t>
  </si>
  <si>
    <t>Keansburg Borough</t>
  </si>
  <si>
    <t>1322</t>
  </si>
  <si>
    <t>Keyport Borough</t>
  </si>
  <si>
    <t>1323</t>
  </si>
  <si>
    <t>Little Silver Borough</t>
  </si>
  <si>
    <t>1324</t>
  </si>
  <si>
    <t>Loch Arbour Village</t>
  </si>
  <si>
    <t>1325</t>
  </si>
  <si>
    <t>Long Branch City</t>
  </si>
  <si>
    <t>1326</t>
  </si>
  <si>
    <t>Manalapan Township</t>
  </si>
  <si>
    <t>1327</t>
  </si>
  <si>
    <t>Manasquan Borough</t>
  </si>
  <si>
    <t>1328</t>
  </si>
  <si>
    <t>Marlboro Township</t>
  </si>
  <si>
    <t>1329</t>
  </si>
  <si>
    <t>Matawan Borough</t>
  </si>
  <si>
    <t>1330</t>
  </si>
  <si>
    <t>Aberdeen Township</t>
  </si>
  <si>
    <t>1331</t>
  </si>
  <si>
    <t>Middletown Township</t>
  </si>
  <si>
    <t>1332</t>
  </si>
  <si>
    <t>Millstone Township</t>
  </si>
  <si>
    <t>1333</t>
  </si>
  <si>
    <t>Monmouth Beach Borough</t>
  </si>
  <si>
    <t>1334</t>
  </si>
  <si>
    <t>Neptune Township</t>
  </si>
  <si>
    <t>1335</t>
  </si>
  <si>
    <t>Neptune City Borough</t>
  </si>
  <si>
    <t>1336</t>
  </si>
  <si>
    <t>Tinton Falls Borough</t>
  </si>
  <si>
    <t>1337</t>
  </si>
  <si>
    <t>Ocean Township</t>
  </si>
  <si>
    <t>1338</t>
  </si>
  <si>
    <t>Oceanport Borough</t>
  </si>
  <si>
    <t>1339</t>
  </si>
  <si>
    <t>Hazlet Township</t>
  </si>
  <si>
    <t>1340</t>
  </si>
  <si>
    <t>Red Bank Borough</t>
  </si>
  <si>
    <t>1341</t>
  </si>
  <si>
    <t>Roosevelt Borough</t>
  </si>
  <si>
    <t>1342</t>
  </si>
  <si>
    <t>Rumson Borough</t>
  </si>
  <si>
    <t>1343</t>
  </si>
  <si>
    <t>Sea Bright Borough</t>
  </si>
  <si>
    <t>1344</t>
  </si>
  <si>
    <t>Sea Girt Borough</t>
  </si>
  <si>
    <t>1345</t>
  </si>
  <si>
    <t>Shrewsbury Borough</t>
  </si>
  <si>
    <t>1346</t>
  </si>
  <si>
    <t>Shrewsbury Township</t>
  </si>
  <si>
    <t>1347</t>
  </si>
  <si>
    <t>Lake Como Borough</t>
  </si>
  <si>
    <t>1348</t>
  </si>
  <si>
    <t>Spring Lake Borough</t>
  </si>
  <si>
    <t>1349</t>
  </si>
  <si>
    <t>Spring Lake Heights Borough</t>
  </si>
  <si>
    <t>1350</t>
  </si>
  <si>
    <t>Union Beach Borough</t>
  </si>
  <si>
    <t>1351</t>
  </si>
  <si>
    <t>Upper Freehold Township</t>
  </si>
  <si>
    <t>1352</t>
  </si>
  <si>
    <t>Wall Township</t>
  </si>
  <si>
    <t>1353</t>
  </si>
  <si>
    <t>West Long Branch Borough</t>
  </si>
  <si>
    <t>1401</t>
  </si>
  <si>
    <t>Boonton Town</t>
  </si>
  <si>
    <t>1402</t>
  </si>
  <si>
    <t>Boonton Township</t>
  </si>
  <si>
    <t>1403</t>
  </si>
  <si>
    <t>Butler Borough</t>
  </si>
  <si>
    <t>1404</t>
  </si>
  <si>
    <t>Chatham Borough</t>
  </si>
  <si>
    <t>1405</t>
  </si>
  <si>
    <t>Chatham Township</t>
  </si>
  <si>
    <t>1406</t>
  </si>
  <si>
    <t>Chester Borough</t>
  </si>
  <si>
    <t>1407</t>
  </si>
  <si>
    <t>Chester Township</t>
  </si>
  <si>
    <t>1408</t>
  </si>
  <si>
    <t>Denville Township</t>
  </si>
  <si>
    <t>1409</t>
  </si>
  <si>
    <t>Dover Town</t>
  </si>
  <si>
    <t>1410</t>
  </si>
  <si>
    <t>East Hanover Township</t>
  </si>
  <si>
    <t>1411</t>
  </si>
  <si>
    <t>Florham Park Borough</t>
  </si>
  <si>
    <t>1412</t>
  </si>
  <si>
    <t>Hanover Township</t>
  </si>
  <si>
    <t>1413</t>
  </si>
  <si>
    <t>Harding Township</t>
  </si>
  <si>
    <t>1414</t>
  </si>
  <si>
    <t>Jefferson Township</t>
  </si>
  <si>
    <t>1415</t>
  </si>
  <si>
    <t>Kinnelon Borough</t>
  </si>
  <si>
    <t>1416</t>
  </si>
  <si>
    <t>Lincoln Park Borough</t>
  </si>
  <si>
    <t>1417</t>
  </si>
  <si>
    <t>Madison Borough</t>
  </si>
  <si>
    <t>1418</t>
  </si>
  <si>
    <t>Mendham Borough</t>
  </si>
  <si>
    <t>1419</t>
  </si>
  <si>
    <t>Mendham Township</t>
  </si>
  <si>
    <t>1420</t>
  </si>
  <si>
    <t>Mine Hill Township</t>
  </si>
  <si>
    <t>1421</t>
  </si>
  <si>
    <t>Montville Township</t>
  </si>
  <si>
    <t>1422</t>
  </si>
  <si>
    <t>Morris Township</t>
  </si>
  <si>
    <t>1423</t>
  </si>
  <si>
    <t>Morris Plains Borough</t>
  </si>
  <si>
    <t>1424</t>
  </si>
  <si>
    <t>Morristown Town</t>
  </si>
  <si>
    <t>1425</t>
  </si>
  <si>
    <t>Mountain Lakes Borough</t>
  </si>
  <si>
    <t>1426</t>
  </si>
  <si>
    <t>Mount Arlington Borough</t>
  </si>
  <si>
    <t>1427</t>
  </si>
  <si>
    <t>Mount Olive Township</t>
  </si>
  <si>
    <t>1428</t>
  </si>
  <si>
    <t>Netcong Borough</t>
  </si>
  <si>
    <t>1429</t>
  </si>
  <si>
    <t>Parsippany-Troy Hills Township</t>
  </si>
  <si>
    <t>1430</t>
  </si>
  <si>
    <t>Long Hill Township</t>
  </si>
  <si>
    <t>1431</t>
  </si>
  <si>
    <t>Pequannock Township</t>
  </si>
  <si>
    <t>1432</t>
  </si>
  <si>
    <t>Randolph Township</t>
  </si>
  <si>
    <t>1433</t>
  </si>
  <si>
    <t>Riverdale Borough</t>
  </si>
  <si>
    <t>1434</t>
  </si>
  <si>
    <t>Rockaway Borough</t>
  </si>
  <si>
    <t>1435</t>
  </si>
  <si>
    <t>Rockaway Township</t>
  </si>
  <si>
    <t>1436</t>
  </si>
  <si>
    <t>Roxbury Township</t>
  </si>
  <si>
    <t>1437</t>
  </si>
  <si>
    <t>Victory Gardens Borough</t>
  </si>
  <si>
    <t>1438</t>
  </si>
  <si>
    <t>1439</t>
  </si>
  <si>
    <t>Wharton Borough</t>
  </si>
  <si>
    <t>1501</t>
  </si>
  <si>
    <t>Barnegat Light Borough</t>
  </si>
  <si>
    <t>1502</t>
  </si>
  <si>
    <t>Bay Head Borough</t>
  </si>
  <si>
    <t>1503</t>
  </si>
  <si>
    <t>Beach Haven Borough</t>
  </si>
  <si>
    <t>1504</t>
  </si>
  <si>
    <t>Beachwood Borough</t>
  </si>
  <si>
    <t>1505</t>
  </si>
  <si>
    <t>Berkeley Township</t>
  </si>
  <si>
    <t>1506</t>
  </si>
  <si>
    <t>Brick Township</t>
  </si>
  <si>
    <t>1507</t>
  </si>
  <si>
    <t>Toms River Township</t>
  </si>
  <si>
    <t>1508</t>
  </si>
  <si>
    <t>Eagleswood Township</t>
  </si>
  <si>
    <t>1509</t>
  </si>
  <si>
    <t>Harvey Cedars Borough</t>
  </si>
  <si>
    <t>1510</t>
  </si>
  <si>
    <t>Island Heights Borough</t>
  </si>
  <si>
    <t>1511</t>
  </si>
  <si>
    <t>Jackson Township</t>
  </si>
  <si>
    <t>1512</t>
  </si>
  <si>
    <t>Lacey Township</t>
  </si>
  <si>
    <t>1513</t>
  </si>
  <si>
    <t>Lakehurst Borough</t>
  </si>
  <si>
    <t>1514</t>
  </si>
  <si>
    <t>Lakewood Township</t>
  </si>
  <si>
    <t>1515</t>
  </si>
  <si>
    <t>Lavallette Borough</t>
  </si>
  <si>
    <t>1516</t>
  </si>
  <si>
    <t>Little Egg Harbor Township</t>
  </si>
  <si>
    <t>1517</t>
  </si>
  <si>
    <t>Long Beach Township</t>
  </si>
  <si>
    <t>1518</t>
  </si>
  <si>
    <t>Manchester Township</t>
  </si>
  <si>
    <t>1519</t>
  </si>
  <si>
    <t>Mantoloking Borough</t>
  </si>
  <si>
    <t>1520</t>
  </si>
  <si>
    <t>1521</t>
  </si>
  <si>
    <t>Ocean Gate Borough</t>
  </si>
  <si>
    <t>1522</t>
  </si>
  <si>
    <t>Pine Beach Borough</t>
  </si>
  <si>
    <t>1523</t>
  </si>
  <si>
    <t>Plumsted Township</t>
  </si>
  <si>
    <t>1524</t>
  </si>
  <si>
    <t>Point Pleasant Borough</t>
  </si>
  <si>
    <t>1525</t>
  </si>
  <si>
    <t>Point Pleasant Beach Borough</t>
  </si>
  <si>
    <t>1526</t>
  </si>
  <si>
    <t>Seaside Heights Borough</t>
  </si>
  <si>
    <t>1527</t>
  </si>
  <si>
    <t>Seaside Park Borough</t>
  </si>
  <si>
    <t>1528</t>
  </si>
  <si>
    <t>Ship Bottom Borough</t>
  </si>
  <si>
    <t>1529</t>
  </si>
  <si>
    <t>South Toms River Borough</t>
  </si>
  <si>
    <t>1530</t>
  </si>
  <si>
    <t>Stafford Township</t>
  </si>
  <si>
    <t>1531</t>
  </si>
  <si>
    <t>Surf City Borough</t>
  </si>
  <si>
    <t>1532</t>
  </si>
  <si>
    <t>Tuckerton Borough</t>
  </si>
  <si>
    <t>1533</t>
  </si>
  <si>
    <t>Barnegat Township</t>
  </si>
  <si>
    <t>1601</t>
  </si>
  <si>
    <t>Bloomingdale Borough</t>
  </si>
  <si>
    <t>1602</t>
  </si>
  <si>
    <t>Clifton City</t>
  </si>
  <si>
    <t>1603</t>
  </si>
  <si>
    <t>Haledon Borough</t>
  </si>
  <si>
    <t>1604</t>
  </si>
  <si>
    <t>Hawthorne Borough</t>
  </si>
  <si>
    <t>1605</t>
  </si>
  <si>
    <t>Little Falls Township</t>
  </si>
  <si>
    <t>1606</t>
  </si>
  <si>
    <t>North Haledon Borough</t>
  </si>
  <si>
    <t>1607</t>
  </si>
  <si>
    <t>Passaic City</t>
  </si>
  <si>
    <t>1608</t>
  </si>
  <si>
    <t>Paterson City</t>
  </si>
  <si>
    <t>1609</t>
  </si>
  <si>
    <t>Pompton Lakes Borough</t>
  </si>
  <si>
    <t>1610</t>
  </si>
  <si>
    <t>Prospect Park Borough</t>
  </si>
  <si>
    <t>1611</t>
  </si>
  <si>
    <t>Ringwood Borough</t>
  </si>
  <si>
    <t>1612</t>
  </si>
  <si>
    <t>Totowa Borough</t>
  </si>
  <si>
    <t>1613</t>
  </si>
  <si>
    <t>Wanaque Borough</t>
  </si>
  <si>
    <t>1614</t>
  </si>
  <si>
    <t>Wayne Township</t>
  </si>
  <si>
    <t>1615</t>
  </si>
  <si>
    <t>West Milford Township</t>
  </si>
  <si>
    <t>1616</t>
  </si>
  <si>
    <t>West Paterson Borough</t>
  </si>
  <si>
    <t>1701</t>
  </si>
  <si>
    <t>Alloway Township</t>
  </si>
  <si>
    <t>1702</t>
  </si>
  <si>
    <t>Elmer Borough</t>
  </si>
  <si>
    <t>1703</t>
  </si>
  <si>
    <t>Elsinboro Township</t>
  </si>
  <si>
    <t>1704</t>
  </si>
  <si>
    <t>Lower Alloways Creek Township</t>
  </si>
  <si>
    <t>1705</t>
  </si>
  <si>
    <t>Mannington Township</t>
  </si>
  <si>
    <t>1706</t>
  </si>
  <si>
    <t>Oldmans Township</t>
  </si>
  <si>
    <t>1707</t>
  </si>
  <si>
    <t>Penns Grove Borough</t>
  </si>
  <si>
    <t>1708</t>
  </si>
  <si>
    <t>Pennsville Township</t>
  </si>
  <si>
    <t>1709</t>
  </si>
  <si>
    <t>Pilesgrove Township</t>
  </si>
  <si>
    <t>1710</t>
  </si>
  <si>
    <t>Pittsgrove Township</t>
  </si>
  <si>
    <t>1711</t>
  </si>
  <si>
    <t>Quinton Township</t>
  </si>
  <si>
    <t>1712</t>
  </si>
  <si>
    <t>Salem City</t>
  </si>
  <si>
    <t>1713</t>
  </si>
  <si>
    <t>Carneys Point Township</t>
  </si>
  <si>
    <t>1714</t>
  </si>
  <si>
    <t>Upper Pittsgrove Township</t>
  </si>
  <si>
    <t>1715</t>
  </si>
  <si>
    <t>Woodstown Borough</t>
  </si>
  <si>
    <t>1801</t>
  </si>
  <si>
    <t>Bedminster Township</t>
  </si>
  <si>
    <t>1802</t>
  </si>
  <si>
    <t>Bernards Township</t>
  </si>
  <si>
    <t>1803</t>
  </si>
  <si>
    <t>Bernardsville Borough</t>
  </si>
  <si>
    <t>1804</t>
  </si>
  <si>
    <t>Bound Brook Borough</t>
  </si>
  <si>
    <t>1805</t>
  </si>
  <si>
    <t>Branchburg Township</t>
  </si>
  <si>
    <t>1806</t>
  </si>
  <si>
    <t>Bridgewater Township</t>
  </si>
  <si>
    <t>1807</t>
  </si>
  <si>
    <t>Far Hills Borough</t>
  </si>
  <si>
    <t>1808</t>
  </si>
  <si>
    <t>1809</t>
  </si>
  <si>
    <t>Green Brook Township</t>
  </si>
  <si>
    <t>1810</t>
  </si>
  <si>
    <t>Hillsborough Township</t>
  </si>
  <si>
    <t>1811</t>
  </si>
  <si>
    <t>Manville Borough</t>
  </si>
  <si>
    <t>1812</t>
  </si>
  <si>
    <t>Millstone Borough</t>
  </si>
  <si>
    <t>1813</t>
  </si>
  <si>
    <t>Montgomery Township</t>
  </si>
  <si>
    <t>1814</t>
  </si>
  <si>
    <t>North Plainfield Borough</t>
  </si>
  <si>
    <t>1815</t>
  </si>
  <si>
    <t>Peapack-Gladstone Borough</t>
  </si>
  <si>
    <t>1816</t>
  </si>
  <si>
    <t>Raritan Borough</t>
  </si>
  <si>
    <t>1817</t>
  </si>
  <si>
    <t>Rocky Hill Borough</t>
  </si>
  <si>
    <t>1818</t>
  </si>
  <si>
    <t>Somerville Borough</t>
  </si>
  <si>
    <t>1819</t>
  </si>
  <si>
    <t>South Bound Brook Borough</t>
  </si>
  <si>
    <t>1820</t>
  </si>
  <si>
    <t>Warren Township</t>
  </si>
  <si>
    <t>1821</t>
  </si>
  <si>
    <t>Watchung Borough</t>
  </si>
  <si>
    <t>1901</t>
  </si>
  <si>
    <t>Andover Borough</t>
  </si>
  <si>
    <t>1902</t>
  </si>
  <si>
    <t>Andover Township</t>
  </si>
  <si>
    <t>1903</t>
  </si>
  <si>
    <t>Branchville Borough</t>
  </si>
  <si>
    <t>1904</t>
  </si>
  <si>
    <t>Byram Township</t>
  </si>
  <si>
    <t>1905</t>
  </si>
  <si>
    <t>Frankford Township</t>
  </si>
  <si>
    <t>1906</t>
  </si>
  <si>
    <t>Franklin Borough</t>
  </si>
  <si>
    <t>1907</t>
  </si>
  <si>
    <t>Fredon Township</t>
  </si>
  <si>
    <t>1908</t>
  </si>
  <si>
    <t>Green Township</t>
  </si>
  <si>
    <t>1909</t>
  </si>
  <si>
    <t>Hamburg Borough</t>
  </si>
  <si>
    <t>1910</t>
  </si>
  <si>
    <t>Hampton Township</t>
  </si>
  <si>
    <t>1911</t>
  </si>
  <si>
    <t>Hardyston Township</t>
  </si>
  <si>
    <t>1912</t>
  </si>
  <si>
    <t>Hopatcong Borough</t>
  </si>
  <si>
    <t>1913</t>
  </si>
  <si>
    <t>Lafayette Township</t>
  </si>
  <si>
    <t>1914</t>
  </si>
  <si>
    <t>Montague Township</t>
  </si>
  <si>
    <t>1915</t>
  </si>
  <si>
    <t>Newton Town</t>
  </si>
  <si>
    <t>1916</t>
  </si>
  <si>
    <t>Ogdensburg Borough</t>
  </si>
  <si>
    <t>1917</t>
  </si>
  <si>
    <t>Sandyston Township</t>
  </si>
  <si>
    <t>1918</t>
  </si>
  <si>
    <t>Sparta Township</t>
  </si>
  <si>
    <t>1919</t>
  </si>
  <si>
    <t>Stanhope Borough</t>
  </si>
  <si>
    <t>1920</t>
  </si>
  <si>
    <t>Stillwater Township</t>
  </si>
  <si>
    <t>1921</t>
  </si>
  <si>
    <t>Sussex Borough</t>
  </si>
  <si>
    <t>1922</t>
  </si>
  <si>
    <t>Vernon Township</t>
  </si>
  <si>
    <t>1923</t>
  </si>
  <si>
    <t>Walpack Township</t>
  </si>
  <si>
    <t>1924</t>
  </si>
  <si>
    <t>Wantage Township</t>
  </si>
  <si>
    <t>2001</t>
  </si>
  <si>
    <t>Berkeley Heights Township</t>
  </si>
  <si>
    <t>2002</t>
  </si>
  <si>
    <t>Clark Township</t>
  </si>
  <si>
    <t>2003</t>
  </si>
  <si>
    <t>Cranford Township</t>
  </si>
  <si>
    <t>2004</t>
  </si>
  <si>
    <t>Elizabeth City</t>
  </si>
  <si>
    <t>2005</t>
  </si>
  <si>
    <t>Fanwood Borough</t>
  </si>
  <si>
    <t>2006</t>
  </si>
  <si>
    <t>Garwood Borough</t>
  </si>
  <si>
    <t>2007</t>
  </si>
  <si>
    <t>Hillside Township</t>
  </si>
  <si>
    <t>2008</t>
  </si>
  <si>
    <t>Kenilworth Borough</t>
  </si>
  <si>
    <t>2009</t>
  </si>
  <si>
    <t>Linden City</t>
  </si>
  <si>
    <t>2010</t>
  </si>
  <si>
    <t>Mountainside Borough</t>
  </si>
  <si>
    <t>2011</t>
  </si>
  <si>
    <t>New Providence Borough</t>
  </si>
  <si>
    <t>2012</t>
  </si>
  <si>
    <t>Plainfield City</t>
  </si>
  <si>
    <t>2013</t>
  </si>
  <si>
    <t>Rahway City</t>
  </si>
  <si>
    <t>2014</t>
  </si>
  <si>
    <t>Roselle Borough</t>
  </si>
  <si>
    <t>2015</t>
  </si>
  <si>
    <t>Roselle Park Borough</t>
  </si>
  <si>
    <t>2016</t>
  </si>
  <si>
    <t>Scotch Plains Township</t>
  </si>
  <si>
    <t>2017</t>
  </si>
  <si>
    <t>2018</t>
  </si>
  <si>
    <t>Summit City</t>
  </si>
  <si>
    <t>2019</t>
  </si>
  <si>
    <t>2020</t>
  </si>
  <si>
    <t>Westfield Town</t>
  </si>
  <si>
    <t>2021</t>
  </si>
  <si>
    <t>Winfield Township</t>
  </si>
  <si>
    <t>2101</t>
  </si>
  <si>
    <t>Allamuchy Township</t>
  </si>
  <si>
    <t>2102</t>
  </si>
  <si>
    <t>Alpha Borough</t>
  </si>
  <si>
    <t>2103</t>
  </si>
  <si>
    <t>Belvidere Town</t>
  </si>
  <si>
    <t>2104</t>
  </si>
  <si>
    <t>Blairstown Township</t>
  </si>
  <si>
    <t>2105</t>
  </si>
  <si>
    <t>2106</t>
  </si>
  <si>
    <t>Frelinghuysen Township</t>
  </si>
  <si>
    <t>2107</t>
  </si>
  <si>
    <t>2108</t>
  </si>
  <si>
    <t>Hackettstown Town</t>
  </si>
  <si>
    <t>2109</t>
  </si>
  <si>
    <t>Hardwick Township</t>
  </si>
  <si>
    <t>2110</t>
  </si>
  <si>
    <t>Harmony Township</t>
  </si>
  <si>
    <t>2111</t>
  </si>
  <si>
    <t>Hope Township</t>
  </si>
  <si>
    <t>2112</t>
  </si>
  <si>
    <t>Independence Township</t>
  </si>
  <si>
    <t>2113</t>
  </si>
  <si>
    <t>Knowlton Township</t>
  </si>
  <si>
    <t>2114</t>
  </si>
  <si>
    <t>Liberty Township</t>
  </si>
  <si>
    <t>2115</t>
  </si>
  <si>
    <t>Lopatcong Township</t>
  </si>
  <si>
    <t>2116</t>
  </si>
  <si>
    <t>2117</t>
  </si>
  <si>
    <t>Oxford Township</t>
  </si>
  <si>
    <t>2119</t>
  </si>
  <si>
    <t>Phillipsburg Town</t>
  </si>
  <si>
    <t>2120</t>
  </si>
  <si>
    <t>Pohatcong Township</t>
  </si>
  <si>
    <t>2121</t>
  </si>
  <si>
    <t>Washington Borough</t>
  </si>
  <si>
    <t>2122</t>
  </si>
  <si>
    <t>2123</t>
  </si>
  <si>
    <t>White Township</t>
  </si>
  <si>
    <t>Totals</t>
  </si>
  <si>
    <t>Annual Payroll</t>
  </si>
  <si>
    <t>Indirect Earnings</t>
  </si>
  <si>
    <t>Annual Corp Spending</t>
  </si>
  <si>
    <t>Indirect Annual Spending</t>
  </si>
  <si>
    <t>Indirect One Time Spending</t>
  </si>
  <si>
    <t>State Indirect Ongoing</t>
  </si>
  <si>
    <t>Total State Ongoing Net Benefits</t>
  </si>
  <si>
    <t>Present Value @6%</t>
  </si>
  <si>
    <t>Total State Benefits</t>
  </si>
  <si>
    <t>Total Benefits</t>
  </si>
  <si>
    <t>b</t>
  </si>
  <si>
    <t>d</t>
  </si>
  <si>
    <t>e</t>
  </si>
  <si>
    <t>Assumed Portion of Const. on Labor</t>
  </si>
  <si>
    <t>Dir One Time Earnings</t>
  </si>
  <si>
    <t>Spending Tax Rate</t>
  </si>
  <si>
    <t>Earnings Tax Rate</t>
  </si>
  <si>
    <t>Dir One Time Taxes on Earning</t>
  </si>
  <si>
    <t>Ind One Time Taxes on Earnings</t>
  </si>
  <si>
    <t>Ind One Time Taxes on Spending</t>
  </si>
  <si>
    <t>a+b+c</t>
  </si>
  <si>
    <t>Direct One Time Taxes on Spending</t>
  </si>
  <si>
    <t>Total One Time Tax Benefits</t>
  </si>
  <si>
    <t>Total State Ongoing Benefits (PV @ 6%)</t>
  </si>
  <si>
    <t>Direct Ongoing Annual Taxes</t>
  </si>
  <si>
    <t>At 3.5 % Tax Rate</t>
  </si>
  <si>
    <t>Indirect Effect Earnings Multiplier</t>
  </si>
  <si>
    <t>Indirect Ongoing Annual Taxes</t>
  </si>
  <si>
    <t>Indirect One Time Earnings (50% of Construction)</t>
  </si>
  <si>
    <t>Sq. footage</t>
  </si>
  <si>
    <t>Average Density</t>
  </si>
  <si>
    <t>Indirect Jobs</t>
  </si>
  <si>
    <t>Spillover</t>
  </si>
  <si>
    <t>Direct Output</t>
  </si>
  <si>
    <t>Total Output</t>
  </si>
  <si>
    <t>Total Earnings</t>
  </si>
  <si>
    <t>Direct Earnings</t>
  </si>
  <si>
    <t>Job Type Number</t>
  </si>
  <si>
    <t>Job Type Description</t>
  </si>
  <si>
    <t>Final Demand Output Multiplier</t>
  </si>
  <si>
    <t>Direct Effect Employment Multiplier</t>
  </si>
  <si>
    <t>Implied DirectJobs</t>
  </si>
  <si>
    <t>Final Demand Employment Multiplier</t>
  </si>
  <si>
    <t>Final Demand Earnings Multiplier</t>
  </si>
  <si>
    <t>Direct Effect  Earnings Multiplier</t>
  </si>
  <si>
    <t>@7%</t>
  </si>
  <si>
    <t>@9%</t>
  </si>
  <si>
    <t>@4%</t>
  </si>
  <si>
    <t>Input</t>
  </si>
  <si>
    <t>@300psf</t>
  </si>
  <si>
    <t>Project Composite</t>
  </si>
  <si>
    <t>Sales Tax Estimator</t>
  </si>
  <si>
    <t>Cumulative &amp; NPV Calc</t>
  </si>
  <si>
    <t>Jobs</t>
  </si>
  <si>
    <t>Disc. Rate</t>
  </si>
  <si>
    <t>Day1</t>
  </si>
  <si>
    <t>Average Salary</t>
  </si>
  <si>
    <t>NPV Salaries</t>
  </si>
  <si>
    <t xml:space="preserve">Discounted Salaries Calculation </t>
  </si>
  <si>
    <t>RIMSII-1</t>
  </si>
  <si>
    <t>known*RIMSII-1</t>
  </si>
  <si>
    <t>RIMSII-2</t>
  </si>
  <si>
    <t>Total-Direct</t>
  </si>
  <si>
    <t>RIMSII-3</t>
  </si>
  <si>
    <t>RIMSII-4</t>
  </si>
  <si>
    <t>Known</t>
  </si>
  <si>
    <t>RIMSII-4*direct Output</t>
  </si>
  <si>
    <t>RIMSII-5</t>
  </si>
  <si>
    <t>RIMSII-3*Direct Output</t>
  </si>
  <si>
    <t>Total Jobs/RIMSII-5</t>
  </si>
  <si>
    <t>Ongoing Jobs(Direct)</t>
  </si>
  <si>
    <t>One Time Jobs(Direct)</t>
  </si>
  <si>
    <t>Direct Output Composite</t>
  </si>
  <si>
    <t>Direct Earnings Composite</t>
  </si>
  <si>
    <t>NJEDA Simplified Speculative Building Model (Annotated)</t>
  </si>
  <si>
    <t>Known/RIMSII-2</t>
  </si>
  <si>
    <t>Based on Average Sales psf for Retail</t>
  </si>
  <si>
    <t>At 4% Tax Rate</t>
  </si>
  <si>
    <t>Yes</t>
  </si>
  <si>
    <t>No</t>
  </si>
  <si>
    <t>SF</t>
  </si>
  <si>
    <t>Total Project SF</t>
  </si>
  <si>
    <t>At Risk Jobs</t>
  </si>
  <si>
    <t>At Risk Earnings</t>
  </si>
  <si>
    <t>NPV Salaries(At Risk)</t>
  </si>
  <si>
    <t>At Risk Salary</t>
  </si>
  <si>
    <t>Property Tax (Default to Total Const Value*3%)</t>
  </si>
  <si>
    <t>Direct Output Composite Multiplier</t>
  </si>
  <si>
    <t>Direct Earnings Composite Multiplier</t>
  </si>
  <si>
    <t>Direct Earnings Composite*(Indirect .Mult.-1)</t>
  </si>
  <si>
    <t>Direct Output Composite*(Direct .Mult.-1)</t>
  </si>
  <si>
    <t>Direct Construction Multiplier</t>
  </si>
  <si>
    <t>Direct Effect Earnings Multiplier</t>
  </si>
  <si>
    <t>Adjustment Test 1</t>
  </si>
  <si>
    <t>Maximum HUB Award Test</t>
  </si>
  <si>
    <t>Total Qualifying Costs (NJEDA Cost Analysis sheet)</t>
  </si>
  <si>
    <t>Adjusted Salaries*</t>
  </si>
  <si>
    <t>Adjustment Test 2</t>
  </si>
  <si>
    <t>Switch</t>
  </si>
  <si>
    <t>Freight or Urban Grocery Store Site? (Yes=1,No=0)</t>
  </si>
  <si>
    <t>County Number</t>
  </si>
  <si>
    <t>Select Industry Sector</t>
  </si>
  <si>
    <t>This box only operates in the event that one of the job types is in the retail sector</t>
  </si>
  <si>
    <t>Applicant Name</t>
  </si>
  <si>
    <t>Project name</t>
  </si>
  <si>
    <t>Select Jobs Type(s)</t>
  </si>
  <si>
    <t>RIMS Implied Salary</t>
  </si>
  <si>
    <t>Salary Check</t>
  </si>
  <si>
    <t>Notes</t>
  </si>
  <si>
    <t>Unqualified</t>
  </si>
  <si>
    <t>No Credit</t>
  </si>
  <si>
    <t>Capital</t>
  </si>
  <si>
    <t>Soft</t>
  </si>
  <si>
    <t>Financing</t>
  </si>
  <si>
    <t>Contingency</t>
  </si>
  <si>
    <t>Design</t>
  </si>
  <si>
    <t>Engineering</t>
  </si>
  <si>
    <t>Legal</t>
  </si>
  <si>
    <t>Costs</t>
  </si>
  <si>
    <t>Site Preparation</t>
  </si>
  <si>
    <t>Construction - Other</t>
  </si>
  <si>
    <t>Repair</t>
  </si>
  <si>
    <t>Renovation</t>
  </si>
  <si>
    <t>Improvement - General</t>
  </si>
  <si>
    <t>Real Estate Commissions</t>
  </si>
  <si>
    <t>Equippping</t>
  </si>
  <si>
    <t>Furniture</t>
  </si>
  <si>
    <t>Furnishing - Building</t>
  </si>
  <si>
    <t>Office Equipment (&lt; 5 yr. Depr.)</t>
  </si>
  <si>
    <t>Furnishing - Structure</t>
  </si>
  <si>
    <t>Furnishing - Facility</t>
  </si>
  <si>
    <t>Improvement - Real Property</t>
  </si>
  <si>
    <t>Furnishing - Installation</t>
  </si>
  <si>
    <t>Machinery</t>
  </si>
  <si>
    <t>Equipment - Business Oper.</t>
  </si>
  <si>
    <t>Adjustment Test 3</t>
  </si>
  <si>
    <t>Is the Capital Investment =&gt;  $50M?</t>
  </si>
  <si>
    <t>Are new or at risk jobs =&gt; 250</t>
  </si>
  <si>
    <t>Non At Risk Jobs Moving from Suburb to Urban</t>
  </si>
  <si>
    <t>Sanity Check</t>
  </si>
  <si>
    <t>State &amp; Local Direct Ongoing</t>
  </si>
  <si>
    <t>Salary/Output</t>
  </si>
  <si>
    <t>Count to total only if project is NOT in a UEZ zone.</t>
  </si>
  <si>
    <t>X</t>
  </si>
  <si>
    <t>Eligible Cost Template</t>
  </si>
  <si>
    <t>Land ineligible</t>
  </si>
  <si>
    <t>ineligible</t>
  </si>
  <si>
    <t>Acres:</t>
  </si>
  <si>
    <t>Improv. SF:</t>
  </si>
  <si>
    <t>in HUB</t>
  </si>
  <si>
    <t>Predevelopment costs should be put in appropriate category</t>
  </si>
  <si>
    <t>Selected from</t>
  </si>
  <si>
    <t>Eligible Cost Analysis</t>
  </si>
  <si>
    <t>DETAILED USES</t>
  </si>
  <si>
    <t>Dropdown Menu</t>
  </si>
  <si>
    <t>Land</t>
  </si>
  <si>
    <t>Hard</t>
  </si>
  <si>
    <t>I</t>
  </si>
  <si>
    <t>Acquisition</t>
  </si>
  <si>
    <t>Building</t>
  </si>
  <si>
    <t>Appraisal</t>
  </si>
  <si>
    <t>Title</t>
  </si>
  <si>
    <t>Other:</t>
  </si>
  <si>
    <t xml:space="preserve">        Sub Total</t>
  </si>
  <si>
    <t>II</t>
  </si>
  <si>
    <t>Improvements</t>
  </si>
  <si>
    <t>Demolition</t>
  </si>
  <si>
    <r>
      <t xml:space="preserve">Relocation of Existing Facilities </t>
    </r>
    <r>
      <rPr>
        <sz val="8"/>
        <color indexed="8"/>
        <rFont val="Arial"/>
        <family val="2"/>
      </rPr>
      <t>(if any)</t>
    </r>
  </si>
  <si>
    <t>Enivironmental Remediation</t>
  </si>
  <si>
    <t>Site Improvements</t>
  </si>
  <si>
    <t>On-Site</t>
  </si>
  <si>
    <t>Off-Site</t>
  </si>
  <si>
    <t>Improvements (New Construction or Rehab)</t>
  </si>
  <si>
    <r>
      <t xml:space="preserve">Tenant Fit Out Allowance </t>
    </r>
    <r>
      <rPr>
        <sz val="8"/>
        <color indexed="8"/>
        <rFont val="Arial"/>
        <family val="2"/>
      </rPr>
      <t>(retail, office, or other required)</t>
    </r>
  </si>
  <si>
    <r>
      <t xml:space="preserve">Fixtures, Furniture and Equipment </t>
    </r>
    <r>
      <rPr>
        <sz val="8"/>
        <color indexed="8"/>
        <rFont val="Arial"/>
        <family val="2"/>
      </rPr>
      <t>(depreciation &gt; 5 yrs, purchased not leased)</t>
    </r>
  </si>
  <si>
    <r>
      <t xml:space="preserve">Fixtures, Furniture and Equipment </t>
    </r>
    <r>
      <rPr>
        <sz val="8"/>
        <color indexed="8"/>
        <rFont val="Arial"/>
        <family val="2"/>
      </rPr>
      <t>(depreciation &lt;=5 yrs) (purchased not leased)</t>
    </r>
  </si>
  <si>
    <t>Construction Bond</t>
  </si>
  <si>
    <t>General Conditions</t>
  </si>
  <si>
    <t>Overhead and Profit</t>
  </si>
  <si>
    <t xml:space="preserve">Other:  </t>
  </si>
  <si>
    <t xml:space="preserve">        Sub Total </t>
  </si>
  <si>
    <t>III</t>
  </si>
  <si>
    <t>Professional Services</t>
  </si>
  <si>
    <t xml:space="preserve">Attorney </t>
  </si>
  <si>
    <t>Appraisal and/or Market Analysis</t>
  </si>
  <si>
    <t>Zoning and Planning Consultant</t>
  </si>
  <si>
    <t xml:space="preserve">Architect and Engineer </t>
  </si>
  <si>
    <t>Green Building/LEED Consultant</t>
  </si>
  <si>
    <t xml:space="preserve">Construction Manager </t>
  </si>
  <si>
    <t>Environmental Consultant</t>
  </si>
  <si>
    <t>Historical/Cultural Resources Consultant</t>
  </si>
  <si>
    <t>Surveyor</t>
  </si>
  <si>
    <t>Owner's Representative (if applicable)</t>
  </si>
  <si>
    <t>IV</t>
  </si>
  <si>
    <t>Financing and Other Costs</t>
  </si>
  <si>
    <t>Financing Fees</t>
  </si>
  <si>
    <t>Application Fees</t>
  </si>
  <si>
    <t>Commitment Fees</t>
  </si>
  <si>
    <t>Underwriting and Related Fees</t>
  </si>
  <si>
    <t>Financing and Other Professional Service Fees</t>
  </si>
  <si>
    <t>Environmental</t>
  </si>
  <si>
    <t>Construction Review and Meetings</t>
  </si>
  <si>
    <t xml:space="preserve">Real Estate Commissions </t>
  </si>
  <si>
    <t>Financing: Interest</t>
  </si>
  <si>
    <t>Construction Interest</t>
  </si>
  <si>
    <t xml:space="preserve">Other Capitalized Interest </t>
  </si>
  <si>
    <t>Negative Arbitrage</t>
  </si>
  <si>
    <t>Title Policy and Related Fees</t>
  </si>
  <si>
    <t>Construction Draws and Updates</t>
  </si>
  <si>
    <t>Working Capital - Initial Occupancy</t>
  </si>
  <si>
    <t>Management Staff</t>
  </si>
  <si>
    <t>Advertising</t>
  </si>
  <si>
    <t>Working Capital</t>
  </si>
  <si>
    <t>Insurance</t>
  </si>
  <si>
    <t>Liability Insurance</t>
  </si>
  <si>
    <r>
      <t>Property Insurance</t>
    </r>
    <r>
      <rPr>
        <sz val="8"/>
        <color indexed="8"/>
        <rFont val="Arial"/>
        <family val="2"/>
      </rPr>
      <t xml:space="preserve"> (Builder's Risk)</t>
    </r>
  </si>
  <si>
    <r>
      <t xml:space="preserve">Bond </t>
    </r>
    <r>
      <rPr>
        <sz val="8"/>
        <color indexed="8"/>
        <rFont val="Arial"/>
        <family val="2"/>
      </rPr>
      <t>(other than construction bond)</t>
    </r>
  </si>
  <si>
    <t>Permits and Fees</t>
  </si>
  <si>
    <t>Zoning and Planning</t>
  </si>
  <si>
    <t>Building and Related Permits</t>
  </si>
  <si>
    <t>Utility Connnection Fees</t>
  </si>
  <si>
    <r>
      <t xml:space="preserve">Working Capital </t>
    </r>
    <r>
      <rPr>
        <sz val="8"/>
        <color indexed="8"/>
        <rFont val="Arial"/>
        <family val="2"/>
      </rPr>
      <t>(Until Stabilized Occupancy)</t>
    </r>
  </si>
  <si>
    <t>Operating Deficit Escrow</t>
  </si>
  <si>
    <t xml:space="preserve">Financing Escrows </t>
  </si>
  <si>
    <t>Taxes</t>
  </si>
  <si>
    <t>V</t>
  </si>
  <si>
    <t>Project Contingency</t>
  </si>
  <si>
    <t>VI</t>
  </si>
  <si>
    <t>Development Fee</t>
  </si>
  <si>
    <t>Fee</t>
  </si>
  <si>
    <t>Sub Total</t>
  </si>
  <si>
    <t>VII</t>
  </si>
  <si>
    <t>TOTAL USES</t>
  </si>
  <si>
    <t>Eligible Costs</t>
  </si>
  <si>
    <t>SOURCES AND USES SUMMARY AND GAP ANALYSIS</t>
  </si>
  <si>
    <t>Excludes ineligible items</t>
  </si>
  <si>
    <t>20% Soft Cost Cap</t>
  </si>
  <si>
    <t>VIII</t>
  </si>
  <si>
    <t>% of TDC</t>
  </si>
  <si>
    <t>SF Cost</t>
  </si>
  <si>
    <t>Eligible Soft Costs</t>
  </si>
  <si>
    <t>Total Eligible Costs</t>
  </si>
  <si>
    <t>Comparison to Total Development Cost</t>
  </si>
  <si>
    <t>TDC</t>
  </si>
  <si>
    <t>TOTAL</t>
  </si>
  <si>
    <t>Difference</t>
  </si>
  <si>
    <t>IX</t>
  </si>
  <si>
    <t>TOTAL SOURCES (Construction)</t>
  </si>
  <si>
    <t>Ann. Interest Rate</t>
  </si>
  <si>
    <t>Term (months)</t>
  </si>
  <si>
    <t>Amortization</t>
  </si>
  <si>
    <t>20% ERGG or HUB Cap</t>
  </si>
  <si>
    <t>TOTAL SOURCES (Permanent)</t>
  </si>
  <si>
    <t>Term (yrs)</t>
  </si>
  <si>
    <t>Est. Ann. Paymt</t>
  </si>
  <si>
    <t>Ann. Debt Serv.</t>
  </si>
  <si>
    <t>XI</t>
  </si>
  <si>
    <t>GAP ANALYSIS (Permanent)</t>
  </si>
  <si>
    <t>Address</t>
  </si>
  <si>
    <t>Select Applicable Project Type(s)</t>
  </si>
  <si>
    <t>Notes:</t>
  </si>
  <si>
    <t>Gray background indicates a drop down menu.</t>
  </si>
  <si>
    <t>% of Total Project SF</t>
  </si>
  <si>
    <t>NJEDA Economic Impact Model - Urban Transit HUB Tax Credit</t>
  </si>
  <si>
    <t>Project Description:</t>
  </si>
  <si>
    <t>Project Questions:</t>
  </si>
  <si>
    <t>1. Is the Project Commercial Only? (mark "x")</t>
  </si>
  <si>
    <t>2. Is the Project Residential Only? (mark "x")</t>
  </si>
  <si>
    <t>3. Is the Project Mixed Use? (mark "x")</t>
  </si>
  <si>
    <t>4. Total Project Sqaure Footage</t>
  </si>
  <si>
    <t>Salary</t>
  </si>
  <si>
    <t>Job Information:</t>
  </si>
  <si>
    <t>Day 1</t>
  </si>
  <si>
    <t>Analysis Start Date:</t>
  </si>
  <si>
    <t>Non at Risk Jobs</t>
  </si>
  <si>
    <t>Project Type SF (Linked above - Do not hardcode)</t>
  </si>
  <si>
    <t>Acceptable % Diff. between RIMS Salary vs. Actual</t>
  </si>
  <si>
    <r>
      <t xml:space="preserve">Required Escrows </t>
    </r>
    <r>
      <rPr>
        <sz val="8"/>
        <color theme="0"/>
        <rFont val="Arial"/>
        <family val="2"/>
      </rPr>
      <t>(by financing sources)</t>
    </r>
  </si>
  <si>
    <t>State &amp; Local Tax Assumptions:</t>
  </si>
  <si>
    <t>Industry</t>
  </si>
  <si>
    <t>Net Profit Margin</t>
  </si>
  <si>
    <t>Blue font indicates assumptions which can be manually changed.</t>
  </si>
  <si>
    <t>Corporate Income Tax</t>
  </si>
  <si>
    <t>3. Retail Jobs Factor
(applies only to retail trade sector)</t>
  </si>
  <si>
    <t>2. What figure did the company provide in their application?</t>
  </si>
  <si>
    <t>Refer to Question #1 in Sales Tax Section</t>
  </si>
  <si>
    <t>Misc. State Revenue Tax</t>
  </si>
  <si>
    <t>1.  Input any additional Tax revenue that will be generated by the project</t>
  </si>
  <si>
    <t>Property Tax</t>
  </si>
  <si>
    <t>Figures driving calculations in model</t>
  </si>
  <si>
    <t>Model calculates own number. The lower of figure from company and model number is used in calculations.</t>
  </si>
  <si>
    <t>1. Are the majority of jobs in this project in the "retail trade" sector? (mark "x")</t>
  </si>
  <si>
    <t>1. Did the applicant provide a Corporate Income Tax figure in their application? (mark "x")</t>
  </si>
  <si>
    <t>1. Did the applicant provide a Gross Income Tax number in their application? (mark "x")</t>
  </si>
  <si>
    <t>1.  Input projected Property Tax revenue from the project</t>
  </si>
  <si>
    <t>1. Is the site associated with Freight or Urban Grocery Stores? (mark "x")</t>
  </si>
  <si>
    <t>a</t>
  </si>
  <si>
    <t>c</t>
  </si>
  <si>
    <t>Adjustment Tests</t>
  </si>
  <si>
    <t>In a UEZ this tax is zero/ when the project is in a UEZ let the model do its thing</t>
  </si>
  <si>
    <t xml:space="preserve">tax breaks in UEZ and those tax breaks lower your one time benefit </t>
  </si>
  <si>
    <t>Urban Economic Zone</t>
  </si>
  <si>
    <t>1. Is the project in an Urban Economic Zone? (mark "x")</t>
  </si>
  <si>
    <t>Urban Economic Zones receive tax breaks and thus this redcued tax revenue must be considered for the Net Benefit Analysis.</t>
  </si>
  <si>
    <t>25% Net Benefit Bonus</t>
  </si>
  <si>
    <t>2. What are the total qualifying costs of the project?</t>
  </si>
  <si>
    <t>Capital Invesment Threshold</t>
  </si>
  <si>
    <t>1. Are new or at risk jobs greater than 250? (No action required)</t>
  </si>
  <si>
    <t>5. Is the Majority of the Project Residential? (No action required)</t>
  </si>
  <si>
    <t>1. Is the capital investment greater than $50 million? (No action required)</t>
  </si>
  <si>
    <t>Direct Input into the model.</t>
  </si>
  <si>
    <t>(see comments in upper right hand corner of cell)</t>
  </si>
  <si>
    <t>The final HUB Award is the lesser of the total qualifying project costs and 90% of the Net Benefits Award.</t>
  </si>
  <si>
    <t>2. Is the project a "desination" or the relocation of retail from a neighboring state?  (mark "x")</t>
  </si>
  <si>
    <t>15% is NJEDA guideline</t>
  </si>
  <si>
    <t>3. What percentage of sales will be cannibalized from existing NJ sales?</t>
  </si>
  <si>
    <t>4.  What is the Sales Tax Rate?</t>
  </si>
  <si>
    <t>6. What is the sales tax?</t>
  </si>
  <si>
    <t>5. Do you want to manually input a sales tax number?</t>
  </si>
  <si>
    <t>2. What are the total hard costs of the project?</t>
  </si>
  <si>
    <t xml:space="preserve">Make sure figure is only incremental increase and if there is a PILOT then list only the amount retained by the city </t>
  </si>
  <si>
    <t>Table 2.5 Total Multipliers - industry aggregations</t>
  </si>
  <si>
    <t>Region: atlantic (Type II)</t>
  </si>
  <si>
    <t>Series: 2008 U.S. Annual I-O data and 2008 Regional Data</t>
  </si>
  <si>
    <t xml:space="preserve">  </t>
  </si>
  <si>
    <t xml:space="preserve">   </t>
  </si>
  <si>
    <t>Final-demand Employment /3/ (number of jobs)</t>
  </si>
  <si>
    <t>Direct-effect Employment /6/ (number of jobs)</t>
  </si>
  <si>
    <t>Crop and animal production</t>
  </si>
  <si>
    <t>Forestry, fishing, and related activities</t>
  </si>
  <si>
    <t>Oil and gas extraction</t>
  </si>
  <si>
    <t>Mining, except oil and gas</t>
  </si>
  <si>
    <t>Support activities for mining</t>
  </si>
  <si>
    <t>Utilities*</t>
  </si>
  <si>
    <t>Construction</t>
  </si>
  <si>
    <t>Wood product manufacturing</t>
  </si>
  <si>
    <t>Nonmetallic mineral product manufacturing</t>
  </si>
  <si>
    <t>Primary metal manufacturing</t>
  </si>
  <si>
    <t>Fabricated metal product manufacturing</t>
  </si>
  <si>
    <t>Machinery manufacturing</t>
  </si>
  <si>
    <t>Computer and electronic product manufacturing</t>
  </si>
  <si>
    <t>Electrical equipment and appliance manufacturing</t>
  </si>
  <si>
    <t>Motor vehicle, body, trailer, and parts manufacturing</t>
  </si>
  <si>
    <t>Other transportation equipment manufacturing</t>
  </si>
  <si>
    <t>Furniture and related product manufacturing</t>
  </si>
  <si>
    <t>Miscellaneous manufacturing</t>
  </si>
  <si>
    <t>Food, beverage, and tobacco product manufacturing</t>
  </si>
  <si>
    <t>Textile and textile product mills</t>
  </si>
  <si>
    <t>Apparel, leather, and allied product manufacturing</t>
  </si>
  <si>
    <t>Paper manufacturing</t>
  </si>
  <si>
    <t>Printing and related support activities</t>
  </si>
  <si>
    <t>Petroleum and coal products manufacturing</t>
  </si>
  <si>
    <t>Chemical manufacturing</t>
  </si>
  <si>
    <t>Plastics and rubber products manufacturing</t>
  </si>
  <si>
    <t>Wholesale trade</t>
  </si>
  <si>
    <t>Retail trade</t>
  </si>
  <si>
    <t>Air transportation</t>
  </si>
  <si>
    <t>Rail transportation</t>
  </si>
  <si>
    <t>Water transportation</t>
  </si>
  <si>
    <t>Truck transportation</t>
  </si>
  <si>
    <t>Transit and ground passenger transportation*</t>
  </si>
  <si>
    <t>Pipeline transportation</t>
  </si>
  <si>
    <t>Other transportation and support activities*</t>
  </si>
  <si>
    <t>Warehousing and storage</t>
  </si>
  <si>
    <t>Publishing industries, except Internet</t>
  </si>
  <si>
    <t>Motion picture and sound recording industries</t>
  </si>
  <si>
    <t>Broadcasting, except Internet</t>
  </si>
  <si>
    <t>Telecommunications</t>
  </si>
  <si>
    <t>Internet and other information services</t>
  </si>
  <si>
    <t>Federal Reserve banks, credit intermediation and related services</t>
  </si>
  <si>
    <t>Securities, commodity contracts, investments</t>
  </si>
  <si>
    <t>Insurance carriers and related activities</t>
  </si>
  <si>
    <t>Funds, trusts, and other financial vehicles</t>
  </si>
  <si>
    <t>Real estate</t>
  </si>
  <si>
    <t>Rental and leasing services and lessors of intangible assets</t>
  </si>
  <si>
    <t>Professional, scientific, and technical services</t>
  </si>
  <si>
    <t>Management of companies and enterprises</t>
  </si>
  <si>
    <t>Administrative and support services</t>
  </si>
  <si>
    <t>Waste management and remediation services</t>
  </si>
  <si>
    <t>Educational services</t>
  </si>
  <si>
    <t>Ambulatory health care services</t>
  </si>
  <si>
    <t>Hospitals</t>
  </si>
  <si>
    <t>Nursing and residential care facilities</t>
  </si>
  <si>
    <t>Social assistance</t>
  </si>
  <si>
    <t>Performing arts, spectator sports, museums, zoos, and parks</t>
  </si>
  <si>
    <t>Amusements, gambling, and recreation</t>
  </si>
  <si>
    <t>Accommodation</t>
  </si>
  <si>
    <t>Food services and drinking places</t>
  </si>
  <si>
    <t>Other services*</t>
  </si>
  <si>
    <t>Households</t>
  </si>
  <si>
    <t>Region: bergen (Type II)</t>
  </si>
  <si>
    <t>Region: camden (Type II)</t>
  </si>
  <si>
    <t>Region: cape may (Type II)</t>
  </si>
  <si>
    <t>Region: cumberland (Type II)</t>
  </si>
  <si>
    <t>Region: essex (Type II)</t>
  </si>
  <si>
    <t>Region: gloucester (Type II)</t>
  </si>
  <si>
    <t>Region: hudson (Type II)</t>
  </si>
  <si>
    <t>Region: hunterdon (Type II)</t>
  </si>
  <si>
    <t>Region: mercer (Type II)</t>
  </si>
  <si>
    <t>Region: middlesex (Type II)</t>
  </si>
  <si>
    <t>Region: monmouth (Type II)</t>
  </si>
  <si>
    <t>Region: morris (Type II)</t>
  </si>
  <si>
    <t>Region: ocean (Type II)</t>
  </si>
  <si>
    <t>Region: passaic (Type II)</t>
  </si>
  <si>
    <t>Region: warren (Type II)</t>
  </si>
  <si>
    <t>Region: salem (Type II)</t>
  </si>
  <si>
    <t>Region: burlington (Type II)</t>
  </si>
  <si>
    <t>Region: somerset (Type II)</t>
  </si>
  <si>
    <t>Region: sussex (Type II)</t>
  </si>
  <si>
    <t>Region: union (Type II)</t>
  </si>
  <si>
    <t>2. Forestry, fishing, and related activities</t>
  </si>
  <si>
    <t>1. Crop and animal production</t>
  </si>
  <si>
    <t>3. Oil and gas extraction</t>
  </si>
  <si>
    <t>4. Mining, except oil and gas</t>
  </si>
  <si>
    <t>5. Support activities for mining</t>
  </si>
  <si>
    <t>6. Utilities*</t>
  </si>
  <si>
    <t>7. Construction</t>
  </si>
  <si>
    <t>8. Wood product manufacturing</t>
  </si>
  <si>
    <t>9. Nonmetallic mineral product manufacturing</t>
  </si>
  <si>
    <t>10. Primary metal manufacturing</t>
  </si>
  <si>
    <t>11. Fabricated metal product manufacturing</t>
  </si>
  <si>
    <t>12. Machinery manufacturing</t>
  </si>
  <si>
    <t>13. Computer and electronic product manufacturing</t>
  </si>
  <si>
    <t>14. Electrical equipment and appliance manufacturing</t>
  </si>
  <si>
    <t>15. Motor vehicle, body, trailer, and parts manufacturing</t>
  </si>
  <si>
    <t>16. Other transportation equipment manufacturing</t>
  </si>
  <si>
    <t>17. Furniture and related product manufacturing</t>
  </si>
  <si>
    <t>18. Miscellaneous manufacturing</t>
  </si>
  <si>
    <t>19. Food, beverage, and tobacco product manufacturing</t>
  </si>
  <si>
    <t>20. Textile and textile product mills</t>
  </si>
  <si>
    <t>21. Apparel, leather, and allied product manufacturing</t>
  </si>
  <si>
    <t>22. Paper manufacturing</t>
  </si>
  <si>
    <t>23. Printing and related support activities</t>
  </si>
  <si>
    <t>24. Petroleum and coal products manufacturing</t>
  </si>
  <si>
    <t>25. Chemical manufacturing</t>
  </si>
  <si>
    <t>26. Plastics and rubber products manufacturing</t>
  </si>
  <si>
    <t>27. Wholesale trade</t>
  </si>
  <si>
    <t>28. Retail trade</t>
  </si>
  <si>
    <t>29. Air transportation</t>
  </si>
  <si>
    <t>30. Rail transportation</t>
  </si>
  <si>
    <t>31. Water transportation</t>
  </si>
  <si>
    <t>32. Truck transportation</t>
  </si>
  <si>
    <t>33. Transit and ground passenger transportation*</t>
  </si>
  <si>
    <t>34. Pipeline transportation</t>
  </si>
  <si>
    <t>35. Other transportation and support activities*</t>
  </si>
  <si>
    <t>36. Warehousing and storage</t>
  </si>
  <si>
    <t>37. Publishing industries, except Internet</t>
  </si>
  <si>
    <t>38. Motion picture and sound recording industries</t>
  </si>
  <si>
    <t>39. Broadcasting, except Internet</t>
  </si>
  <si>
    <t>40. Telecommunications</t>
  </si>
  <si>
    <t>41. Internet and other information services</t>
  </si>
  <si>
    <t>42. Federal Reserve banks, credit intermediation and related services</t>
  </si>
  <si>
    <t>43. Securities, commodity contracts, investments</t>
  </si>
  <si>
    <t>44. Insurance carriers and related activities</t>
  </si>
  <si>
    <t>45. Funds, trusts, and other financial vehicles</t>
  </si>
  <si>
    <t>46. Real estate</t>
  </si>
  <si>
    <t>47. Rental and leasing services and lessors of intangible assets</t>
  </si>
  <si>
    <t>48. Professional, scientific, and technical services</t>
  </si>
  <si>
    <t>49. Management of companies and enterprises</t>
  </si>
  <si>
    <t>50. Administrative and support services</t>
  </si>
  <si>
    <t>51. Waste management and remediation services</t>
  </si>
  <si>
    <t>52. Educational services</t>
  </si>
  <si>
    <t>53. Ambulatory health care services</t>
  </si>
  <si>
    <t>54. Hospitals</t>
  </si>
  <si>
    <t>55. Nursing and residential care facilities</t>
  </si>
  <si>
    <t>56. Social assistance</t>
  </si>
  <si>
    <t>57. Performing arts, spectator sports, museums, zoos, and parks</t>
  </si>
  <si>
    <t>58. Amusements, gambling, and recreation</t>
  </si>
  <si>
    <t>59. Accommodation</t>
  </si>
  <si>
    <t>60. Food services and drinking places</t>
  </si>
  <si>
    <t>61. Other services*</t>
  </si>
  <si>
    <t>62. Households</t>
  </si>
  <si>
    <t>Commercial 1 SF</t>
  </si>
  <si>
    <t>Commercial 2 SF</t>
  </si>
  <si>
    <t>Commerical 3 SF</t>
  </si>
  <si>
    <t>Max HUB/ERG Amount</t>
  </si>
  <si>
    <t>Without Adjustment</t>
  </si>
  <si>
    <t>With Adjustment</t>
  </si>
  <si>
    <t>% change</t>
  </si>
  <si>
    <t>NJEDA Economic Impact Model (2010 RIMS Data)</t>
  </si>
  <si>
    <t>No. of Years</t>
  </si>
  <si>
    <t>Amount of Grow NJ Award</t>
  </si>
  <si>
    <t>Other NJ Assistance</t>
  </si>
  <si>
    <t>Net Benefit to the State</t>
  </si>
  <si>
    <t>Select From List</t>
  </si>
  <si>
    <t>Over 15 Year Period</t>
  </si>
  <si>
    <t>Over Statutory Period</t>
  </si>
  <si>
    <t>Implied Maximum Award at 100% Coverage for Camden Projects</t>
  </si>
  <si>
    <t>Lockheed Martin</t>
  </si>
  <si>
    <t>Cumulative Net Benefit (35 yrs w/ 3% yearly inflation)</t>
  </si>
</sst>
</file>

<file path=xl/styles.xml><?xml version="1.0" encoding="utf-8"?>
<styleSheet xmlns="http://schemas.openxmlformats.org/spreadsheetml/2006/main">
  <numFmts count="21">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quot;$&quot;#,##0"/>
    <numFmt numFmtId="166" formatCode="&quot;$&quot;#,##0.00"/>
    <numFmt numFmtId="167" formatCode="&quot;$&quot;#,##0.0"/>
    <numFmt numFmtId="168" formatCode="0.00\x"/>
    <numFmt numFmtId="169" formatCode="0.0%"/>
    <numFmt numFmtId="170" formatCode="_(* #,##0.000_);_(* \(#,##0.000\);_(* &quot;-&quot;??_);_(@_)"/>
    <numFmt numFmtId="171" formatCode="[$-409]mmmm\ d\,\ yyyy;@"/>
    <numFmt numFmtId="172" formatCode="_(&quot;$&quot;* #,##0_);_(&quot;$&quot;* \(#,##0\);_(&quot;$&quot;* &quot;-&quot;??_);_(@_)"/>
    <numFmt numFmtId="173" formatCode="#,##0;\-#,##0;&quot;-&quot;"/>
    <numFmt numFmtId="174" formatCode="#,##0.0"/>
    <numFmt numFmtId="175" formatCode="&quot;$&quot;#,##0;[Red]\(&quot;$&quot;#,##0\)"/>
    <numFmt numFmtId="176" formatCode="&quot;$&quot;#,##0.0;\(&quot;$&quot;#,##0.00\)"/>
    <numFmt numFmtId="177" formatCode="&quot;$&quot;#,##0.00;\(&quot;$&quot;#,##0.00\)"/>
    <numFmt numFmtId="178" formatCode="0.000&quot;  &quot;"/>
    <numFmt numFmtId="179" formatCode="mm/dd/yy"/>
    <numFmt numFmtId="180" formatCode="_(* #,##0.0_);_(* \(#,##0.0\);_(* &quot;-&quot;?_);_(@_)"/>
  </numFmts>
  <fonts count="122">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0"/>
      <name val="Calibri"/>
      <family val="2"/>
      <scheme val="minor"/>
    </font>
    <font>
      <i/>
      <sz val="11"/>
      <color theme="1"/>
      <name val="Calibri"/>
      <family val="2"/>
      <scheme val="minor"/>
    </font>
    <font>
      <sz val="10"/>
      <name val="Arial"/>
      <family val="2"/>
    </font>
    <font>
      <b/>
      <sz val="11"/>
      <color theme="1"/>
      <name val="Calibri"/>
      <family val="2"/>
      <scheme val="minor"/>
    </font>
    <font>
      <u/>
      <sz val="7"/>
      <color theme="10"/>
      <name val="Arial"/>
      <family val="2"/>
    </font>
    <font>
      <sz val="11"/>
      <color theme="3"/>
      <name val="Calibri"/>
      <family val="2"/>
      <scheme val="minor"/>
    </font>
    <font>
      <b/>
      <sz val="11"/>
      <color theme="3" tint="0.39997558519241921"/>
      <name val="Calibri"/>
      <family val="2"/>
      <scheme val="minor"/>
    </font>
    <font>
      <b/>
      <sz val="11"/>
      <color theme="3"/>
      <name val="Calibri"/>
      <family val="2"/>
      <scheme val="minor"/>
    </font>
    <font>
      <sz val="14"/>
      <color theme="1"/>
      <name val="Calibri"/>
      <family val="2"/>
      <scheme val="minor"/>
    </font>
    <font>
      <b/>
      <sz val="11"/>
      <name val="Calibri"/>
      <family val="2"/>
      <scheme val="minor"/>
    </font>
    <font>
      <sz val="11"/>
      <name val="Calibri"/>
      <family val="2"/>
      <scheme val="minor"/>
    </font>
    <font>
      <sz val="14"/>
      <color theme="0"/>
      <name val="Calibri"/>
      <family val="2"/>
      <scheme val="minor"/>
    </font>
    <font>
      <sz val="20"/>
      <color theme="0"/>
      <name val="Calibri"/>
      <family val="2"/>
      <scheme val="minor"/>
    </font>
    <font>
      <sz val="18"/>
      <color theme="1"/>
      <name val="Calibri"/>
      <family val="2"/>
      <scheme val="minor"/>
    </font>
    <font>
      <u/>
      <sz val="11"/>
      <color theme="1"/>
      <name val="Calibri"/>
      <family val="2"/>
      <scheme val="minor"/>
    </font>
    <font>
      <b/>
      <sz val="18"/>
      <color theme="1"/>
      <name val="Calibri"/>
      <family val="2"/>
      <scheme val="minor"/>
    </font>
    <font>
      <sz val="10"/>
      <name val="Arial"/>
      <family val="2"/>
    </font>
    <font>
      <sz val="9"/>
      <name val="Arial"/>
      <family val="2"/>
    </font>
    <font>
      <b/>
      <sz val="22"/>
      <color rgb="FFFF0000"/>
      <name val="Calibri"/>
      <family val="2"/>
      <scheme val="minor"/>
    </font>
    <font>
      <b/>
      <sz val="14"/>
      <color theme="1"/>
      <name val="Calibri"/>
      <family val="2"/>
      <scheme val="minor"/>
    </font>
    <font>
      <b/>
      <sz val="18"/>
      <name val="Calibri"/>
      <family val="2"/>
      <scheme val="minor"/>
    </font>
    <font>
      <sz val="16"/>
      <color theme="1"/>
      <name val="Calibri"/>
      <family val="2"/>
      <scheme val="minor"/>
    </font>
    <font>
      <b/>
      <u/>
      <sz val="18"/>
      <color theme="1"/>
      <name val="Calibri"/>
      <family val="2"/>
      <scheme val="minor"/>
    </font>
    <font>
      <b/>
      <sz val="22"/>
      <color theme="0"/>
      <name val="Calibri"/>
      <family val="2"/>
      <scheme val="minor"/>
    </font>
    <font>
      <b/>
      <sz val="20"/>
      <color theme="1"/>
      <name val="Calibri"/>
      <family val="2"/>
      <scheme val="minor"/>
    </font>
    <font>
      <b/>
      <sz val="12"/>
      <color theme="1"/>
      <name val="Calibri"/>
      <family val="2"/>
      <scheme val="minor"/>
    </font>
    <font>
      <i/>
      <sz val="14"/>
      <color theme="1"/>
      <name val="Calibri"/>
      <family val="2"/>
      <scheme val="minor"/>
    </font>
    <font>
      <i/>
      <sz val="18"/>
      <color theme="1"/>
      <name val="Calibri"/>
      <family val="2"/>
      <scheme val="minor"/>
    </font>
    <font>
      <b/>
      <sz val="18"/>
      <color theme="3"/>
      <name val="Calibri"/>
      <family val="2"/>
      <scheme val="minor"/>
    </font>
    <font>
      <sz val="22"/>
      <color theme="0"/>
      <name val="Calibri"/>
      <family val="2"/>
      <scheme val="minor"/>
    </font>
    <font>
      <i/>
      <sz val="22"/>
      <color theme="0"/>
      <name val="Calibri"/>
      <family val="2"/>
      <scheme val="minor"/>
    </font>
    <font>
      <b/>
      <sz val="16"/>
      <color theme="1"/>
      <name val="Calibri"/>
      <family val="2"/>
      <scheme val="minor"/>
    </font>
    <font>
      <b/>
      <sz val="10"/>
      <name val="Arial"/>
      <family val="2"/>
    </font>
    <font>
      <b/>
      <sz val="14"/>
      <name val="Calibri"/>
      <family val="2"/>
      <scheme val="minor"/>
    </font>
    <font>
      <b/>
      <sz val="11"/>
      <color theme="4"/>
      <name val="Calibri"/>
      <family val="2"/>
      <scheme val="minor"/>
    </font>
    <font>
      <sz val="10"/>
      <color rgb="FF000000"/>
      <name val="Tahoma"/>
      <family val="2"/>
    </font>
    <font>
      <sz val="10"/>
      <name val="Tahoma"/>
      <family val="2"/>
    </font>
    <font>
      <sz val="12"/>
      <color theme="1"/>
      <name val="Calibri"/>
      <family val="2"/>
      <scheme val="minor"/>
    </font>
    <font>
      <b/>
      <sz val="11"/>
      <color rgb="FFFF0000"/>
      <name val="Calibri"/>
      <family val="2"/>
      <scheme val="minor"/>
    </font>
    <font>
      <sz val="14"/>
      <color rgb="FFFF0000"/>
      <name val="Calibri"/>
      <family val="2"/>
      <scheme val="minor"/>
    </font>
    <font>
      <sz val="20"/>
      <color theme="1"/>
      <name val="Calibri"/>
      <family val="2"/>
      <scheme val="minor"/>
    </font>
    <font>
      <sz val="18"/>
      <name val="Calibri"/>
      <family val="2"/>
      <scheme val="minor"/>
    </font>
    <font>
      <sz val="11"/>
      <color theme="3" tint="-0.249977111117893"/>
      <name val="Calibri"/>
      <family val="2"/>
      <scheme val="minor"/>
    </font>
    <font>
      <b/>
      <sz val="16"/>
      <color theme="0"/>
      <name val="Calibri"/>
      <family val="2"/>
      <scheme val="minor"/>
    </font>
    <font>
      <b/>
      <u/>
      <sz val="11"/>
      <color theme="1"/>
      <name val="Calibri"/>
      <family val="2"/>
      <scheme val="minor"/>
    </font>
    <font>
      <b/>
      <sz val="16"/>
      <color rgb="FFFF0000"/>
      <name val="Calibri"/>
      <family val="2"/>
      <scheme val="minor"/>
    </font>
    <font>
      <sz val="12"/>
      <name val="Arial"/>
      <family val="2"/>
    </font>
    <font>
      <b/>
      <sz val="12"/>
      <color indexed="8"/>
      <name val="Arial"/>
      <family val="2"/>
    </font>
    <font>
      <sz val="12"/>
      <color indexed="8"/>
      <name val="Arial"/>
      <family val="2"/>
    </font>
    <font>
      <u/>
      <sz val="11"/>
      <color theme="10"/>
      <name val="Calibri"/>
      <family val="2"/>
    </font>
    <font>
      <b/>
      <sz val="11"/>
      <name val="Arial"/>
      <family val="2"/>
    </font>
    <font>
      <b/>
      <sz val="10"/>
      <color indexed="8"/>
      <name val="Arial"/>
      <family val="2"/>
    </font>
    <font>
      <b/>
      <sz val="14"/>
      <color indexed="8"/>
      <name val="Arial"/>
      <family val="2"/>
    </font>
    <font>
      <sz val="10"/>
      <color indexed="8"/>
      <name val="Arial"/>
      <family val="2"/>
    </font>
    <font>
      <b/>
      <sz val="9"/>
      <name val="Arial"/>
      <family val="2"/>
    </font>
    <font>
      <sz val="9"/>
      <color indexed="8"/>
      <name val="Arial"/>
      <family val="2"/>
    </font>
    <font>
      <b/>
      <sz val="9"/>
      <color indexed="8"/>
      <name val="Arial"/>
      <family val="2"/>
    </font>
    <font>
      <sz val="8"/>
      <color indexed="8"/>
      <name val="Arial"/>
      <family val="2"/>
    </font>
    <font>
      <sz val="9"/>
      <color theme="0"/>
      <name val="Arial"/>
      <family val="2"/>
    </font>
    <font>
      <b/>
      <sz val="10"/>
      <color rgb="FFFF0000"/>
      <name val="Arial"/>
      <family val="2"/>
    </font>
    <font>
      <i/>
      <sz val="10"/>
      <color rgb="FFFF0000"/>
      <name val="Arial"/>
      <family val="2"/>
    </font>
    <font>
      <sz val="10"/>
      <color rgb="FFFF0000"/>
      <name val="Arial"/>
      <family val="2"/>
    </font>
    <font>
      <sz val="9"/>
      <color rgb="FFFF0000"/>
      <name val="Arial"/>
      <family val="2"/>
    </font>
    <font>
      <sz val="10"/>
      <color theme="1"/>
      <name val="Arial"/>
      <family val="2"/>
    </font>
    <font>
      <b/>
      <sz val="10"/>
      <name val="HLV"/>
    </font>
    <font>
      <sz val="9"/>
      <name val="HLV"/>
    </font>
    <font>
      <sz val="10"/>
      <name val="HLV"/>
    </font>
    <font>
      <b/>
      <sz val="12"/>
      <name val="Times New Roman"/>
      <family val="1"/>
    </font>
    <font>
      <i/>
      <sz val="11"/>
      <name val="Arial"/>
      <family val="2"/>
    </font>
    <font>
      <sz val="8"/>
      <name val="Times New Roman"/>
      <family val="1"/>
    </font>
    <font>
      <b/>
      <u/>
      <sz val="12"/>
      <name val="Times New Roman"/>
      <family val="1"/>
    </font>
    <font>
      <sz val="12"/>
      <name val="Times New Roman"/>
      <family val="1"/>
    </font>
    <font>
      <sz val="10"/>
      <name val="MS Serif"/>
      <family val="1"/>
    </font>
    <font>
      <sz val="10"/>
      <color indexed="16"/>
      <name val="MS Serif"/>
      <family val="1"/>
    </font>
    <font>
      <sz val="8"/>
      <name val="Arial"/>
      <family val="2"/>
    </font>
    <font>
      <b/>
      <sz val="12"/>
      <name val="Arial"/>
      <family val="2"/>
    </font>
    <font>
      <b/>
      <sz val="14"/>
      <name val="Arial"/>
      <family val="2"/>
    </font>
    <font>
      <sz val="11"/>
      <name val="Arial"/>
      <family val="2"/>
    </font>
    <font>
      <sz val="11"/>
      <color indexed="12"/>
      <name val="Arial"/>
      <family val="2"/>
    </font>
    <font>
      <sz val="8"/>
      <name val="Helv"/>
    </font>
    <font>
      <b/>
      <sz val="8"/>
      <color indexed="8"/>
      <name val="Helv"/>
    </font>
    <font>
      <sz val="9"/>
      <color indexed="81"/>
      <name val="Tahoma"/>
      <family val="2"/>
    </font>
    <font>
      <b/>
      <sz val="9"/>
      <color indexed="81"/>
      <name val="Tahoma"/>
      <family val="2"/>
    </font>
    <font>
      <sz val="11"/>
      <color theme="3" tint="0.39994506668294322"/>
      <name val="Calibri"/>
      <family val="2"/>
      <scheme val="minor"/>
    </font>
    <font>
      <b/>
      <sz val="11"/>
      <color theme="3" tint="0.39994506668294322"/>
      <name val="Calibri"/>
      <family val="2"/>
      <scheme val="minor"/>
    </font>
    <font>
      <b/>
      <sz val="16"/>
      <name val="Calibri"/>
      <family val="2"/>
      <scheme val="minor"/>
    </font>
    <font>
      <b/>
      <sz val="10"/>
      <color theme="0"/>
      <name val="Arial"/>
      <family val="2"/>
    </font>
    <font>
      <b/>
      <sz val="6"/>
      <color theme="0"/>
      <name val="Arial"/>
      <family val="2"/>
    </font>
    <font>
      <b/>
      <sz val="9"/>
      <color theme="0"/>
      <name val="Arial"/>
      <family val="2"/>
    </font>
    <font>
      <sz val="10"/>
      <color theme="0"/>
      <name val="Arial"/>
      <family val="2"/>
    </font>
    <font>
      <sz val="8"/>
      <color theme="0"/>
      <name val="Arial"/>
      <family val="2"/>
    </font>
    <font>
      <sz val="14"/>
      <color indexed="81"/>
      <name val="Tahoma"/>
      <family val="2"/>
    </font>
    <font>
      <sz val="10"/>
      <color rgb="FFFF0000"/>
      <name val="Calibri"/>
      <family val="2"/>
      <scheme val="minor"/>
    </font>
    <font>
      <sz val="10"/>
      <color theme="1"/>
      <name val="Calibri"/>
      <family val="2"/>
      <scheme val="minor"/>
    </font>
    <font>
      <sz val="12"/>
      <color indexed="81"/>
      <name val="Tahoma"/>
      <family val="2"/>
    </font>
    <font>
      <b/>
      <sz val="12"/>
      <color indexed="81"/>
      <name val="Tahoma"/>
      <family val="2"/>
    </font>
    <font>
      <i/>
      <sz val="9"/>
      <color theme="1"/>
      <name val="Calibri"/>
      <family val="2"/>
      <scheme val="minor"/>
    </font>
    <font>
      <sz val="11"/>
      <color rgb="FF92D050"/>
      <name val="Calibri"/>
      <family val="2"/>
      <scheme val="minor"/>
    </font>
    <font>
      <u/>
      <sz val="11"/>
      <color theme="0"/>
      <name val="Calibri"/>
      <family val="2"/>
      <scheme val="minor"/>
    </font>
    <font>
      <u/>
      <sz val="11"/>
      <color theme="3" tint="0.39994506668294322"/>
      <name val="Calibri"/>
      <family val="2"/>
      <scheme val="minor"/>
    </font>
    <font>
      <sz val="18"/>
      <color theme="0"/>
      <name val="Calibri"/>
      <family val="2"/>
      <scheme val="minor"/>
    </font>
  </fonts>
  <fills count="1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14999847407452621"/>
        <bgColor indexed="64"/>
      </patternFill>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theme="0" tint="-0.24994659260841701"/>
        <bgColor indexed="64"/>
      </patternFill>
    </fill>
    <fill>
      <patternFill patternType="solid">
        <fgColor theme="3" tint="0.39997558519241921"/>
        <bgColor indexed="64"/>
      </patternFill>
    </fill>
    <fill>
      <patternFill patternType="solid">
        <fgColor rgb="FFFFFF99"/>
        <bgColor indexed="64"/>
      </patternFill>
    </fill>
    <fill>
      <patternFill patternType="solid">
        <fgColor theme="6" tint="0.39997558519241921"/>
        <bgColor indexed="64"/>
      </patternFill>
    </fill>
    <fill>
      <patternFill patternType="solid">
        <fgColor rgb="FFFFFF00"/>
        <bgColor indexed="64"/>
      </patternFill>
    </fill>
  </fills>
  <borders count="70">
    <border>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double">
        <color indexed="64"/>
      </bottom>
      <diagonal/>
    </border>
    <border>
      <left style="thin">
        <color indexed="64"/>
      </left>
      <right style="thin">
        <color indexed="64"/>
      </right>
      <top style="double">
        <color indexed="64"/>
      </top>
      <bottom style="medium">
        <color indexed="64"/>
      </bottom>
      <diagonal/>
    </border>
    <border>
      <left style="thin">
        <color indexed="12"/>
      </left>
      <right style="thin">
        <color indexed="12"/>
      </right>
      <top style="thin">
        <color indexed="12"/>
      </top>
      <bottom style="thin">
        <color indexed="12"/>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double">
        <color auto="1"/>
      </right>
      <top/>
      <bottom style="double">
        <color auto="1"/>
      </bottom>
      <diagonal/>
    </border>
    <border>
      <left/>
      <right style="double">
        <color auto="1"/>
      </right>
      <top/>
      <bottom/>
      <diagonal/>
    </border>
    <border>
      <left/>
      <right style="medium">
        <color indexed="64"/>
      </right>
      <top/>
      <bottom style="double">
        <color indexed="64"/>
      </bottom>
      <diagonal/>
    </border>
    <border>
      <left/>
      <right/>
      <top style="thin">
        <color auto="1"/>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ck">
        <color auto="1"/>
      </left>
      <right style="thick">
        <color auto="1"/>
      </right>
      <top style="thick">
        <color auto="1"/>
      </top>
      <bottom style="thick">
        <color auto="1"/>
      </bottom>
      <diagonal/>
    </border>
    <border>
      <left style="thin">
        <color auto="1"/>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83">
    <xf numFmtId="0" fontId="0" fillId="0" borderId="0"/>
    <xf numFmtId="44" fontId="20" fillId="0" borderId="0" applyFont="0" applyFill="0" applyBorder="0" applyAlignment="0" applyProtection="0"/>
    <xf numFmtId="9" fontId="20" fillId="0" borderId="0" applyFont="0" applyFill="0" applyBorder="0" applyAlignment="0" applyProtection="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20" fillId="0" borderId="0" applyFont="0" applyFill="0" applyBorder="0" applyAlignment="0" applyProtection="0"/>
    <xf numFmtId="0" fontId="23" fillId="0" borderId="0"/>
    <xf numFmtId="43" fontId="23" fillId="0" borderId="0" applyFont="0" applyFill="0" applyBorder="0" applyAlignment="0" applyProtection="0"/>
    <xf numFmtId="44" fontId="23" fillId="0" borderId="0" applyFont="0" applyFill="0" applyBorder="0" applyAlignment="0" applyProtection="0"/>
    <xf numFmtId="9" fontId="23" fillId="0" borderId="0" applyFont="0" applyFill="0" applyBorder="0" applyAlignment="0" applyProtection="0"/>
    <xf numFmtId="0" fontId="18" fillId="0" borderId="0"/>
    <xf numFmtId="0" fontId="25" fillId="0" borderId="0" applyNumberFormat="0" applyFill="0" applyBorder="0" applyAlignment="0" applyProtection="0">
      <alignment vertical="top"/>
      <protection locked="0"/>
    </xf>
    <xf numFmtId="0" fontId="17" fillId="0" borderId="0"/>
    <xf numFmtId="43" fontId="37" fillId="0" borderId="0" applyFont="0" applyFill="0" applyBorder="0" applyAlignment="0" applyProtection="0"/>
    <xf numFmtId="9" fontId="37" fillId="0" borderId="0" applyFont="0" applyFill="0" applyBorder="0" applyAlignment="0" applyProtection="0"/>
    <xf numFmtId="0" fontId="37"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20" fillId="0" borderId="0"/>
    <xf numFmtId="43"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0" fontId="16" fillId="0" borderId="0"/>
    <xf numFmtId="0" fontId="16"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0" fontId="14" fillId="0" borderId="0"/>
    <xf numFmtId="0" fontId="14" fillId="0" borderId="0"/>
    <xf numFmtId="0" fontId="13"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44" fontId="20" fillId="0" borderId="0" applyFont="0" applyFill="0" applyBorder="0" applyAlignment="0" applyProtection="0"/>
    <xf numFmtId="9" fontId="13"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1" fillId="0" borderId="0"/>
    <xf numFmtId="0" fontId="10" fillId="0" borderId="0"/>
    <xf numFmtId="0" fontId="9" fillId="0" borderId="0"/>
    <xf numFmtId="0" fontId="67" fillId="0" borderId="0"/>
    <xf numFmtId="0" fontId="70" fillId="0" borderId="0" applyNumberFormat="0" applyFill="0" applyBorder="0" applyAlignment="0" applyProtection="0">
      <alignment vertical="top"/>
      <protection locked="0"/>
    </xf>
    <xf numFmtId="44"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0" fontId="88" fillId="0" borderId="0">
      <alignment horizontal="left"/>
    </xf>
    <xf numFmtId="0" fontId="89" fillId="0" borderId="40" applyNumberFormat="0" applyFill="0" applyAlignment="0">
      <alignment horizontal="center" vertical="center"/>
    </xf>
    <xf numFmtId="173" fontId="74" fillId="0" borderId="0" applyFill="0" applyBorder="0" applyAlignment="0"/>
    <xf numFmtId="0" fontId="90" fillId="0" borderId="5">
      <alignment horizontal="center"/>
    </xf>
    <xf numFmtId="0" fontId="91" fillId="0" borderId="0">
      <alignment horizontal="left"/>
    </xf>
    <xf numFmtId="3" fontId="92" fillId="0" borderId="0">
      <alignment horizontal="right"/>
    </xf>
    <xf numFmtId="174" fontId="92" fillId="0" borderId="0">
      <alignment horizontal="right"/>
    </xf>
    <xf numFmtId="4" fontId="92" fillId="0" borderId="0">
      <alignment horizontal="right"/>
    </xf>
    <xf numFmtId="0" fontId="93" fillId="0" borderId="0" applyNumberFormat="0" applyAlignment="0">
      <alignment horizontal="left"/>
    </xf>
    <xf numFmtId="175" fontId="92" fillId="0" borderId="0">
      <alignment horizontal="right"/>
    </xf>
    <xf numFmtId="176" fontId="92" fillId="0" borderId="0">
      <alignment horizontal="right"/>
    </xf>
    <xf numFmtId="177" fontId="92" fillId="0" borderId="0">
      <alignment horizontal="right"/>
    </xf>
    <xf numFmtId="0" fontId="94" fillId="0" borderId="0" applyNumberFormat="0" applyAlignment="0">
      <alignment horizontal="left"/>
    </xf>
    <xf numFmtId="38" fontId="95" fillId="8" borderId="0" applyNumberFormat="0" applyBorder="0" applyAlignment="0" applyProtection="0"/>
    <xf numFmtId="0" fontId="96" fillId="0" borderId="24" applyNumberFormat="0" applyAlignment="0" applyProtection="0">
      <alignment horizontal="left" vertical="center"/>
    </xf>
    <xf numFmtId="0" fontId="96" fillId="0" borderId="36">
      <alignment horizontal="left" vertical="center"/>
    </xf>
    <xf numFmtId="0" fontId="97" fillId="0" borderId="12"/>
    <xf numFmtId="5" fontId="96" fillId="0" borderId="0">
      <alignment horizontal="left" vertical="center"/>
    </xf>
    <xf numFmtId="5" fontId="98" fillId="0" borderId="0">
      <alignment horizontal="left" vertical="center"/>
    </xf>
    <xf numFmtId="10" fontId="95" fillId="9" borderId="16" applyNumberFormat="0" applyBorder="0" applyAlignment="0" applyProtection="0"/>
    <xf numFmtId="5" fontId="99" fillId="7" borderId="41" applyNumberFormat="0">
      <alignment horizontal="left" vertical="center"/>
      <protection locked="0"/>
    </xf>
    <xf numFmtId="178" fontId="20" fillId="0" borderId="0"/>
    <xf numFmtId="1" fontId="92" fillId="0" borderId="0">
      <alignment horizontal="right"/>
    </xf>
    <xf numFmtId="9" fontId="92" fillId="0" borderId="0">
      <alignment horizontal="right"/>
    </xf>
    <xf numFmtId="169" fontId="92" fillId="0" borderId="0">
      <alignment horizontal="right"/>
    </xf>
    <xf numFmtId="10" fontId="92" fillId="0" borderId="0">
      <alignment horizontal="right"/>
    </xf>
    <xf numFmtId="10" fontId="20" fillId="0" borderId="0" applyFont="0" applyFill="0" applyBorder="0" applyAlignment="0" applyProtection="0"/>
    <xf numFmtId="179" fontId="100" fillId="0" borderId="0" applyNumberFormat="0" applyFill="0" applyBorder="0" applyAlignment="0" applyProtection="0">
      <alignment horizontal="left"/>
    </xf>
    <xf numFmtId="5" fontId="98" fillId="0" borderId="0">
      <alignment horizontal="right" vertical="center" wrapText="1"/>
    </xf>
    <xf numFmtId="40" fontId="101" fillId="0" borderId="0" applyBorder="0">
      <alignment horizontal="right"/>
    </xf>
    <xf numFmtId="0" fontId="71" fillId="8" borderId="27">
      <alignment horizontal="center" wrapText="1"/>
    </xf>
    <xf numFmtId="0" fontId="5" fillId="0" borderId="0"/>
  </cellStyleXfs>
  <cellXfs count="658">
    <xf numFmtId="0" fontId="0" fillId="0" borderId="0" xfId="0"/>
    <xf numFmtId="0" fontId="18" fillId="0" borderId="0" xfId="11"/>
    <xf numFmtId="0" fontId="18" fillId="0" borderId="10" xfId="11" applyBorder="1" applyAlignment="1">
      <alignment horizontal="left"/>
    </xf>
    <xf numFmtId="0" fontId="25" fillId="0" borderId="11" xfId="12" applyBorder="1" applyAlignment="1" applyProtection="1">
      <alignment horizontal="left" vertical="top" wrapText="1"/>
    </xf>
    <xf numFmtId="0" fontId="18" fillId="0" borderId="8" xfId="11" applyBorder="1" applyAlignment="1">
      <alignment horizontal="left"/>
    </xf>
    <xf numFmtId="0" fontId="25" fillId="0" borderId="7" xfId="12" applyBorder="1" applyAlignment="1" applyProtection="1">
      <alignment horizontal="left" vertical="top" wrapText="1"/>
    </xf>
    <xf numFmtId="0" fontId="18" fillId="0" borderId="13" xfId="11" applyBorder="1" applyAlignment="1">
      <alignment horizontal="left"/>
    </xf>
    <xf numFmtId="0" fontId="25" fillId="0" borderId="15" xfId="12" applyBorder="1" applyAlignment="1" applyProtection="1">
      <alignment horizontal="left" vertical="top" wrapText="1"/>
    </xf>
    <xf numFmtId="0" fontId="18" fillId="0" borderId="0" xfId="11" applyBorder="1"/>
    <xf numFmtId="9" fontId="26" fillId="0" borderId="0" xfId="2" applyFont="1" applyBorder="1"/>
    <xf numFmtId="0" fontId="26" fillId="0" borderId="0" xfId="11" applyFont="1" applyBorder="1"/>
    <xf numFmtId="0" fontId="27" fillId="0" borderId="0" xfId="11" applyFont="1" applyBorder="1"/>
    <xf numFmtId="168" fontId="18" fillId="0" borderId="0" xfId="11" applyNumberFormat="1" applyBorder="1"/>
    <xf numFmtId="0" fontId="18" fillId="0" borderId="0" xfId="11" applyBorder="1" applyAlignment="1">
      <alignment horizontal="left"/>
    </xf>
    <xf numFmtId="9" fontId="18" fillId="0" borderId="0" xfId="11" applyNumberFormat="1" applyBorder="1"/>
    <xf numFmtId="164" fontId="18" fillId="0" borderId="0" xfId="6" applyNumberFormat="1" applyFont="1" applyBorder="1"/>
    <xf numFmtId="43" fontId="18" fillId="0" borderId="0" xfId="11" applyNumberFormat="1" applyBorder="1"/>
    <xf numFmtId="0" fontId="22" fillId="0" borderId="0" xfId="11" applyFont="1" applyBorder="1"/>
    <xf numFmtId="168" fontId="22" fillId="0" borderId="0" xfId="11" applyNumberFormat="1" applyFont="1" applyBorder="1"/>
    <xf numFmtId="9" fontId="18" fillId="0" borderId="0" xfId="2" applyFont="1" applyBorder="1"/>
    <xf numFmtId="166" fontId="18" fillId="0" borderId="0" xfId="11" applyNumberFormat="1" applyBorder="1"/>
    <xf numFmtId="0" fontId="24" fillId="0" borderId="0" xfId="11" applyFont="1" applyBorder="1"/>
    <xf numFmtId="0" fontId="18" fillId="0" borderId="0" xfId="11" applyBorder="1" applyAlignment="1">
      <alignment horizontal="right"/>
    </xf>
    <xf numFmtId="0" fontId="25" fillId="0" borderId="0" xfId="12" applyBorder="1" applyAlignment="1" applyProtection="1">
      <alignment horizontal="left" vertical="top" wrapText="1"/>
    </xf>
    <xf numFmtId="9" fontId="27" fillId="0" borderId="0" xfId="2" applyFont="1" applyBorder="1"/>
    <xf numFmtId="165" fontId="18" fillId="0" borderId="0" xfId="11" applyNumberFormat="1" applyBorder="1"/>
    <xf numFmtId="0" fontId="0" fillId="0" borderId="0" xfId="0" applyBorder="1" applyAlignment="1">
      <alignment vertical="top" wrapText="1"/>
    </xf>
    <xf numFmtId="164" fontId="18" fillId="0" borderId="0" xfId="11" applyNumberFormat="1" applyBorder="1"/>
    <xf numFmtId="0" fontId="18" fillId="3" borderId="0" xfId="11" applyFill="1" applyBorder="1"/>
    <xf numFmtId="0" fontId="18" fillId="4" borderId="0" xfId="11" applyFill="1" applyBorder="1"/>
    <xf numFmtId="0" fontId="18" fillId="4" borderId="8" xfId="11" applyFill="1" applyBorder="1"/>
    <xf numFmtId="167" fontId="34" fillId="0" borderId="0" xfId="6" applyNumberFormat="1" applyFont="1" applyBorder="1"/>
    <xf numFmtId="0" fontId="36" fillId="3" borderId="10" xfId="11" applyFont="1" applyFill="1" applyBorder="1"/>
    <xf numFmtId="0" fontId="36" fillId="0" borderId="8" xfId="11" applyFont="1" applyBorder="1"/>
    <xf numFmtId="0" fontId="36" fillId="0" borderId="10" xfId="11" applyFont="1" applyBorder="1"/>
    <xf numFmtId="0" fontId="36" fillId="0" borderId="13" xfId="11" applyFont="1" applyBorder="1"/>
    <xf numFmtId="164" fontId="37" fillId="0" borderId="4" xfId="14" applyNumberFormat="1" applyFont="1" applyBorder="1" applyAlignment="1">
      <alignment horizontal="center" vertical="center" wrapText="1"/>
    </xf>
    <xf numFmtId="164" fontId="37" fillId="0" borderId="4" xfId="14" applyNumberFormat="1" applyFont="1" applyFill="1" applyBorder="1" applyAlignment="1">
      <alignment horizontal="center" vertical="center" wrapText="1"/>
    </xf>
    <xf numFmtId="164" fontId="37" fillId="0" borderId="4" xfId="14" applyNumberFormat="1" applyBorder="1" applyAlignment="1">
      <alignment horizontal="center" vertical="center" wrapText="1"/>
    </xf>
    <xf numFmtId="164" fontId="37" fillId="0" borderId="4" xfId="14" quotePrefix="1" applyNumberFormat="1" applyFont="1" applyBorder="1" applyAlignment="1">
      <alignment horizontal="center" vertical="center" wrapText="1"/>
    </xf>
    <xf numFmtId="164" fontId="38" fillId="0" borderId="4" xfId="14" quotePrefix="1" applyNumberFormat="1" applyFont="1" applyBorder="1" applyAlignment="1">
      <alignment horizontal="center" vertical="center" wrapText="1"/>
    </xf>
    <xf numFmtId="169" fontId="37" fillId="0" borderId="4" xfId="15" applyNumberFormat="1" applyFont="1" applyBorder="1" applyAlignment="1">
      <alignment horizontal="center" vertical="center" wrapText="1"/>
    </xf>
    <xf numFmtId="0" fontId="37" fillId="0" borderId="0" xfId="16"/>
    <xf numFmtId="164" fontId="37" fillId="0" borderId="0" xfId="14" applyNumberFormat="1"/>
    <xf numFmtId="164" fontId="37" fillId="0" borderId="0" xfId="16" applyNumberFormat="1"/>
    <xf numFmtId="10" fontId="37" fillId="0" borderId="0" xfId="15" applyNumberFormat="1"/>
    <xf numFmtId="0" fontId="20" fillId="0" borderId="0" xfId="16" applyFont="1"/>
    <xf numFmtId="164" fontId="0" fillId="0" borderId="0" xfId="14" applyNumberFormat="1" applyFont="1" applyBorder="1"/>
    <xf numFmtId="0" fontId="20" fillId="0" borderId="0" xfId="16" quotePrefix="1" applyFont="1" applyAlignment="1">
      <alignment horizontal="left"/>
    </xf>
    <xf numFmtId="0" fontId="17" fillId="3" borderId="0" xfId="13" applyFill="1" applyBorder="1"/>
    <xf numFmtId="169" fontId="17" fillId="3" borderId="0" xfId="2" applyNumberFormat="1" applyFont="1" applyFill="1" applyBorder="1"/>
    <xf numFmtId="169" fontId="18" fillId="3" borderId="0" xfId="2" applyNumberFormat="1" applyFont="1" applyFill="1" applyBorder="1"/>
    <xf numFmtId="164" fontId="17" fillId="3" borderId="0" xfId="6" applyNumberFormat="1" applyFont="1" applyFill="1" applyBorder="1"/>
    <xf numFmtId="0" fontId="36" fillId="0" borderId="9" xfId="11" applyFont="1" applyBorder="1"/>
    <xf numFmtId="0" fontId="34" fillId="4" borderId="0" xfId="11" applyFont="1" applyFill="1" applyBorder="1"/>
    <xf numFmtId="0" fontId="43" fillId="4" borderId="8" xfId="11" applyFont="1" applyFill="1" applyBorder="1"/>
    <xf numFmtId="0" fontId="36" fillId="0" borderId="6" xfId="11" applyFont="1" applyBorder="1"/>
    <xf numFmtId="0" fontId="36" fillId="4" borderId="8" xfId="11" applyFont="1" applyFill="1" applyBorder="1"/>
    <xf numFmtId="0" fontId="36" fillId="0" borderId="8" xfId="11" applyFont="1" applyBorder="1" applyAlignment="1">
      <alignment horizontal="right"/>
    </xf>
    <xf numFmtId="0" fontId="43" fillId="4" borderId="8" xfId="11" applyFont="1" applyFill="1" applyBorder="1" applyAlignment="1">
      <alignment horizontal="left"/>
    </xf>
    <xf numFmtId="0" fontId="44" fillId="2" borderId="10" xfId="11" applyFont="1" applyFill="1" applyBorder="1"/>
    <xf numFmtId="168" fontId="34" fillId="0" borderId="2" xfId="11" applyNumberFormat="1" applyFont="1" applyBorder="1"/>
    <xf numFmtId="169" fontId="34" fillId="0" borderId="2" xfId="2" applyNumberFormat="1" applyFont="1" applyBorder="1"/>
    <xf numFmtId="164" fontId="14" fillId="0" borderId="0" xfId="6" applyNumberFormat="1" applyFont="1" applyBorder="1"/>
    <xf numFmtId="0" fontId="14" fillId="0" borderId="0" xfId="29"/>
    <xf numFmtId="0" fontId="14" fillId="0" borderId="0" xfId="29" applyBorder="1"/>
    <xf numFmtId="0" fontId="22" fillId="0" borderId="0" xfId="29" applyFont="1" applyBorder="1"/>
    <xf numFmtId="0" fontId="24" fillId="0" borderId="0" xfId="29" applyFont="1" applyBorder="1"/>
    <xf numFmtId="0" fontId="14" fillId="0" borderId="0" xfId="29" applyBorder="1" applyAlignment="1">
      <alignment horizontal="right"/>
    </xf>
    <xf numFmtId="0" fontId="14" fillId="0" borderId="0" xfId="29" applyBorder="1" applyAlignment="1">
      <alignment horizontal="left"/>
    </xf>
    <xf numFmtId="0" fontId="27" fillId="0" borderId="0" xfId="29" applyFont="1" applyBorder="1"/>
    <xf numFmtId="168" fontId="14" fillId="0" borderId="0" xfId="29" applyNumberFormat="1" applyBorder="1"/>
    <xf numFmtId="0" fontId="14" fillId="0" borderId="0" xfId="29" applyFont="1" applyBorder="1"/>
    <xf numFmtId="43" fontId="14" fillId="0" borderId="0" xfId="29" applyNumberFormat="1" applyBorder="1"/>
    <xf numFmtId="0" fontId="14" fillId="0" borderId="14" xfId="29" applyBorder="1"/>
    <xf numFmtId="166" fontId="14" fillId="0" borderId="0" xfId="29" applyNumberFormat="1" applyBorder="1"/>
    <xf numFmtId="164" fontId="14" fillId="0" borderId="0" xfId="29" applyNumberFormat="1" applyBorder="1"/>
    <xf numFmtId="2" fontId="0" fillId="0" borderId="0" xfId="0" applyNumberFormat="1"/>
    <xf numFmtId="0" fontId="47" fillId="0" borderId="0" xfId="29" applyFont="1" applyBorder="1"/>
    <xf numFmtId="0" fontId="34" fillId="0" borderId="0" xfId="29" applyFont="1" applyBorder="1"/>
    <xf numFmtId="2" fontId="34" fillId="0" borderId="0" xfId="29" applyNumberFormat="1" applyFont="1" applyBorder="1"/>
    <xf numFmtId="0" fontId="34" fillId="0" borderId="0" xfId="29" applyFont="1" applyBorder="1" applyAlignment="1">
      <alignment horizontal="right"/>
    </xf>
    <xf numFmtId="164" fontId="34" fillId="0" borderId="0" xfId="6" applyNumberFormat="1" applyFont="1" applyBorder="1"/>
    <xf numFmtId="168" fontId="34" fillId="0" borderId="0" xfId="29" applyNumberFormat="1" applyFont="1" applyBorder="1"/>
    <xf numFmtId="164" fontId="34" fillId="0" borderId="0" xfId="29" applyNumberFormat="1" applyFont="1" applyBorder="1"/>
    <xf numFmtId="164" fontId="49" fillId="5" borderId="28" xfId="6" applyNumberFormat="1" applyFont="1" applyFill="1" applyBorder="1"/>
    <xf numFmtId="0" fontId="34" fillId="0" borderId="10" xfId="29" applyFont="1" applyBorder="1"/>
    <xf numFmtId="165" fontId="34" fillId="0" borderId="12" xfId="29" applyNumberFormat="1" applyFont="1" applyBorder="1"/>
    <xf numFmtId="0" fontId="14" fillId="0" borderId="12" xfId="29" applyBorder="1"/>
    <xf numFmtId="0" fontId="14" fillId="0" borderId="11" xfId="29" applyBorder="1"/>
    <xf numFmtId="0" fontId="36" fillId="0" borderId="8" xfId="29" applyFont="1" applyBorder="1" applyAlignment="1">
      <alignment horizontal="right"/>
    </xf>
    <xf numFmtId="0" fontId="14" fillId="0" borderId="7" xfId="29" applyBorder="1"/>
    <xf numFmtId="0" fontId="24" fillId="0" borderId="8" xfId="29" applyFont="1" applyBorder="1"/>
    <xf numFmtId="0" fontId="36" fillId="0" borderId="8" xfId="29" applyFont="1" applyBorder="1"/>
    <xf numFmtId="0" fontId="14" fillId="0" borderId="8" xfId="29" applyBorder="1"/>
    <xf numFmtId="0" fontId="48" fillId="0" borderId="13" xfId="29" applyFont="1" applyBorder="1" applyAlignment="1">
      <alignment horizontal="right"/>
    </xf>
    <xf numFmtId="168" fontId="48" fillId="0" borderId="14" xfId="29" applyNumberFormat="1" applyFont="1" applyBorder="1"/>
    <xf numFmtId="0" fontId="14" fillId="0" borderId="15" xfId="29" applyBorder="1"/>
    <xf numFmtId="0" fontId="14" fillId="2" borderId="0" xfId="29" applyFill="1" applyBorder="1"/>
    <xf numFmtId="0" fontId="50" fillId="2" borderId="0" xfId="29" applyFont="1" applyFill="1" applyBorder="1"/>
    <xf numFmtId="0" fontId="51" fillId="2" borderId="0" xfId="29" applyFont="1" applyFill="1" applyBorder="1"/>
    <xf numFmtId="0" fontId="45" fillId="4" borderId="10" xfId="11" applyFont="1" applyFill="1" applyBorder="1"/>
    <xf numFmtId="0" fontId="15" fillId="4" borderId="17" xfId="11" applyFont="1" applyFill="1" applyBorder="1"/>
    <xf numFmtId="0" fontId="47" fillId="0" borderId="0" xfId="29" applyFont="1" applyBorder="1" applyAlignment="1">
      <alignment horizontal="right"/>
    </xf>
    <xf numFmtId="43" fontId="47" fillId="0" borderId="0" xfId="6" applyFont="1" applyBorder="1"/>
    <xf numFmtId="0" fontId="14" fillId="0" borderId="20" xfId="29" applyBorder="1"/>
    <xf numFmtId="0" fontId="14" fillId="0" borderId="30" xfId="29" applyBorder="1"/>
    <xf numFmtId="0" fontId="36" fillId="0" borderId="30" xfId="29" applyFont="1" applyBorder="1" applyAlignment="1">
      <alignment horizontal="right" wrapText="1"/>
    </xf>
    <xf numFmtId="0" fontId="34" fillId="0" borderId="30" xfId="29" applyFont="1" applyBorder="1"/>
    <xf numFmtId="168" fontId="34" fillId="0" borderId="30" xfId="29" applyNumberFormat="1" applyFont="1" applyBorder="1"/>
    <xf numFmtId="164" fontId="34" fillId="0" borderId="30" xfId="6" applyNumberFormat="1" applyFont="1" applyBorder="1"/>
    <xf numFmtId="164" fontId="34" fillId="0" borderId="30" xfId="29" applyNumberFormat="1" applyFont="1" applyBorder="1"/>
    <xf numFmtId="0" fontId="14" fillId="0" borderId="21" xfId="29" applyBorder="1"/>
    <xf numFmtId="0" fontId="14" fillId="0" borderId="10" xfId="29" applyBorder="1"/>
    <xf numFmtId="0" fontId="14" fillId="0" borderId="13" xfId="29" applyBorder="1"/>
    <xf numFmtId="166" fontId="14" fillId="0" borderId="14" xfId="29" applyNumberFormat="1" applyBorder="1"/>
    <xf numFmtId="0" fontId="24" fillId="3" borderId="10" xfId="13" applyFont="1" applyFill="1" applyBorder="1"/>
    <xf numFmtId="0" fontId="17" fillId="3" borderId="12" xfId="13" applyFill="1" applyBorder="1"/>
    <xf numFmtId="0" fontId="17" fillId="3" borderId="11" xfId="13" applyFill="1" applyBorder="1"/>
    <xf numFmtId="0" fontId="17" fillId="3" borderId="8" xfId="13" applyFill="1" applyBorder="1"/>
    <xf numFmtId="0" fontId="17" fillId="3" borderId="7" xfId="13" applyFill="1" applyBorder="1"/>
    <xf numFmtId="164" fontId="17" fillId="3" borderId="7" xfId="13" applyNumberFormat="1" applyFill="1" applyBorder="1"/>
    <xf numFmtId="0" fontId="17" fillId="3" borderId="13" xfId="13" applyFill="1" applyBorder="1"/>
    <xf numFmtId="0" fontId="17" fillId="3" borderId="14" xfId="13" applyFill="1" applyBorder="1"/>
    <xf numFmtId="169" fontId="17" fillId="3" borderId="14" xfId="2" applyNumberFormat="1" applyFont="1" applyFill="1" applyBorder="1"/>
    <xf numFmtId="169" fontId="18" fillId="3" borderId="14" xfId="2" applyNumberFormat="1" applyFont="1" applyFill="1" applyBorder="1"/>
    <xf numFmtId="164" fontId="17" fillId="3" borderId="14" xfId="6" applyNumberFormat="1" applyFont="1" applyFill="1" applyBorder="1"/>
    <xf numFmtId="164" fontId="17" fillId="3" borderId="15" xfId="13" applyNumberFormat="1" applyFill="1" applyBorder="1"/>
    <xf numFmtId="0" fontId="24" fillId="0" borderId="12" xfId="29" applyFont="1" applyBorder="1"/>
    <xf numFmtId="0" fontId="30" fillId="0" borderId="0" xfId="29" applyFont="1" applyBorder="1"/>
    <xf numFmtId="0" fontId="25" fillId="0" borderId="10" xfId="12" applyBorder="1" applyAlignment="1" applyProtection="1">
      <alignment horizontal="left" vertical="top" wrapText="1"/>
    </xf>
    <xf numFmtId="0" fontId="25" fillId="0" borderId="8" xfId="12" applyBorder="1" applyAlignment="1" applyProtection="1">
      <alignment horizontal="left" vertical="top" wrapText="1"/>
    </xf>
    <xf numFmtId="0" fontId="27" fillId="0" borderId="14" xfId="29" applyFont="1" applyBorder="1"/>
    <xf numFmtId="0" fontId="24" fillId="0" borderId="0" xfId="29" applyFont="1" applyBorder="1" applyAlignment="1">
      <alignment horizontal="right"/>
    </xf>
    <xf numFmtId="0" fontId="40" fillId="0" borderId="12" xfId="29" applyFont="1" applyBorder="1" applyAlignment="1">
      <alignment wrapText="1"/>
    </xf>
    <xf numFmtId="0" fontId="54" fillId="0" borderId="12" xfId="29" applyFont="1" applyBorder="1" applyAlignment="1">
      <alignment wrapText="1"/>
    </xf>
    <xf numFmtId="0" fontId="46" fillId="0" borderId="0" xfId="12" applyFont="1" applyBorder="1" applyAlignment="1" applyProtection="1">
      <alignment horizontal="left" vertical="top"/>
    </xf>
    <xf numFmtId="169" fontId="24" fillId="0" borderId="16" xfId="2" applyNumberFormat="1" applyFont="1" applyBorder="1"/>
    <xf numFmtId="9" fontId="24" fillId="0" borderId="16" xfId="2" applyFont="1" applyBorder="1"/>
    <xf numFmtId="166" fontId="14" fillId="0" borderId="16" xfId="1" applyNumberFormat="1" applyFont="1" applyBorder="1"/>
    <xf numFmtId="165" fontId="14" fillId="0" borderId="16" xfId="6" applyNumberFormat="1" applyFont="1" applyBorder="1"/>
    <xf numFmtId="0" fontId="24" fillId="0" borderId="12" xfId="29" applyFont="1" applyBorder="1" applyAlignment="1">
      <alignment wrapText="1"/>
    </xf>
    <xf numFmtId="0" fontId="36" fillId="0" borderId="0" xfId="29" applyFont="1" applyBorder="1"/>
    <xf numFmtId="166" fontId="14" fillId="0" borderId="16" xfId="29" applyNumberFormat="1" applyBorder="1"/>
    <xf numFmtId="0" fontId="56" fillId="0" borderId="0" xfId="0" applyFont="1"/>
    <xf numFmtId="0" fontId="57" fillId="0" borderId="0" xfId="0" applyFont="1"/>
    <xf numFmtId="169" fontId="14" fillId="0" borderId="0" xfId="2" applyNumberFormat="1" applyFont="1" applyBorder="1"/>
    <xf numFmtId="43" fontId="14" fillId="0" borderId="0" xfId="6" applyFont="1" applyBorder="1"/>
    <xf numFmtId="43" fontId="24" fillId="0" borderId="0" xfId="29" applyNumberFormat="1" applyFont="1" applyBorder="1"/>
    <xf numFmtId="1" fontId="14" fillId="0" borderId="0" xfId="29" applyNumberFormat="1" applyBorder="1"/>
    <xf numFmtId="164" fontId="41" fillId="5" borderId="28" xfId="6" applyNumberFormat="1" applyFont="1" applyFill="1" applyBorder="1"/>
    <xf numFmtId="0" fontId="14" fillId="4" borderId="0" xfId="29" applyFill="1" applyBorder="1"/>
    <xf numFmtId="43" fontId="14" fillId="0" borderId="16" xfId="6" applyFont="1" applyBorder="1"/>
    <xf numFmtId="0" fontId="14" fillId="4" borderId="8" xfId="29" applyFill="1" applyBorder="1"/>
    <xf numFmtId="0" fontId="36" fillId="4" borderId="13" xfId="11" applyFont="1" applyFill="1" applyBorder="1"/>
    <xf numFmtId="0" fontId="50" fillId="2" borderId="10" xfId="29" applyFont="1" applyFill="1" applyBorder="1"/>
    <xf numFmtId="0" fontId="50" fillId="2" borderId="12" xfId="29" applyFont="1" applyFill="1" applyBorder="1"/>
    <xf numFmtId="0" fontId="50" fillId="2" borderId="11" xfId="29" applyFont="1" applyFill="1" applyBorder="1"/>
    <xf numFmtId="0" fontId="50" fillId="2" borderId="8" xfId="29" applyFont="1" applyFill="1" applyBorder="1"/>
    <xf numFmtId="0" fontId="50" fillId="2" borderId="7" xfId="29" applyFont="1" applyFill="1" applyBorder="1"/>
    <xf numFmtId="0" fontId="42" fillId="0" borderId="0" xfId="29" applyFont="1" applyBorder="1"/>
    <xf numFmtId="9" fontId="42" fillId="0" borderId="0" xfId="29" applyNumberFormat="1" applyFont="1" applyBorder="1"/>
    <xf numFmtId="164" fontId="17" fillId="3" borderId="32" xfId="6" applyNumberFormat="1" applyFont="1" applyFill="1" applyBorder="1"/>
    <xf numFmtId="0" fontId="40" fillId="0" borderId="11" xfId="29" applyFont="1" applyBorder="1" applyAlignment="1">
      <alignment wrapText="1"/>
    </xf>
    <xf numFmtId="0" fontId="36" fillId="0" borderId="7" xfId="29" applyFont="1" applyBorder="1" applyAlignment="1">
      <alignment wrapText="1"/>
    </xf>
    <xf numFmtId="0" fontId="24" fillId="0" borderId="8" xfId="29" applyFont="1" applyBorder="1" applyAlignment="1">
      <alignment horizontal="right"/>
    </xf>
    <xf numFmtId="0" fontId="30" fillId="0" borderId="8" xfId="29" applyFont="1" applyBorder="1"/>
    <xf numFmtId="0" fontId="14" fillId="4" borderId="12" xfId="29" applyFill="1" applyBorder="1"/>
    <xf numFmtId="0" fontId="36" fillId="0" borderId="23" xfId="29" applyFont="1" applyBorder="1" applyAlignment="1">
      <alignment wrapText="1"/>
    </xf>
    <xf numFmtId="0" fontId="36" fillId="4" borderId="10" xfId="11" applyFont="1" applyFill="1" applyBorder="1"/>
    <xf numFmtId="0" fontId="43" fillId="0" borderId="10" xfId="11" applyFont="1" applyBorder="1"/>
    <xf numFmtId="167" fontId="34" fillId="0" borderId="7" xfId="11" applyNumberFormat="1" applyFont="1" applyBorder="1"/>
    <xf numFmtId="0" fontId="14" fillId="4" borderId="13" xfId="29" applyFill="1" applyBorder="1"/>
    <xf numFmtId="167" fontId="34" fillId="0" borderId="15" xfId="11" applyNumberFormat="1" applyFont="1" applyBorder="1"/>
    <xf numFmtId="0" fontId="14" fillId="4" borderId="14" xfId="29" applyFill="1" applyBorder="1"/>
    <xf numFmtId="165" fontId="14" fillId="0" borderId="18" xfId="6" applyNumberFormat="1" applyFont="1" applyBorder="1"/>
    <xf numFmtId="164" fontId="55" fillId="3" borderId="18" xfId="6" applyNumberFormat="1" applyFont="1" applyFill="1" applyBorder="1"/>
    <xf numFmtId="0" fontId="14" fillId="4" borderId="10" xfId="29" applyFill="1" applyBorder="1"/>
    <xf numFmtId="0" fontId="12" fillId="0" borderId="0" xfId="40"/>
    <xf numFmtId="0" fontId="12" fillId="0" borderId="0" xfId="40" applyBorder="1" applyAlignment="1">
      <alignment horizontal="center"/>
    </xf>
    <xf numFmtId="0" fontId="12" fillId="0" borderId="0" xfId="40" applyBorder="1"/>
    <xf numFmtId="0" fontId="61" fillId="0" borderId="0" xfId="29" applyFont="1"/>
    <xf numFmtId="0" fontId="34" fillId="3" borderId="0" xfId="11" applyFont="1" applyFill="1" applyBorder="1"/>
    <xf numFmtId="164" fontId="36" fillId="5" borderId="28" xfId="29" applyNumberFormat="1" applyFont="1" applyFill="1" applyBorder="1"/>
    <xf numFmtId="0" fontId="24" fillId="0" borderId="0" xfId="29" applyFont="1" applyFill="1" applyBorder="1"/>
    <xf numFmtId="0" fontId="14" fillId="0" borderId="0" xfId="29" applyFill="1" applyBorder="1"/>
    <xf numFmtId="0" fontId="14" fillId="0" borderId="0" xfId="29" applyFill="1" applyBorder="1" applyAlignment="1">
      <alignment horizontal="left"/>
    </xf>
    <xf numFmtId="0" fontId="46" fillId="0" borderId="0" xfId="29" applyFont="1" applyFill="1" applyBorder="1"/>
    <xf numFmtId="0" fontId="14" fillId="0" borderId="0" xfId="29" applyFont="1" applyFill="1" applyBorder="1" applyAlignment="1">
      <alignment horizontal="right"/>
    </xf>
    <xf numFmtId="164" fontId="14" fillId="0" borderId="0" xfId="29" applyNumberFormat="1" applyFill="1" applyBorder="1"/>
    <xf numFmtId="165" fontId="14" fillId="0" borderId="0" xfId="29" applyNumberFormat="1" applyFill="1" applyBorder="1"/>
    <xf numFmtId="165" fontId="22" fillId="0" borderId="0" xfId="29" applyNumberFormat="1" applyFont="1" applyFill="1" applyBorder="1"/>
    <xf numFmtId="0" fontId="46" fillId="0" borderId="0" xfId="29" applyFont="1" applyFill="1" applyBorder="1" applyAlignment="1">
      <alignment horizontal="left"/>
    </xf>
    <xf numFmtId="164" fontId="14" fillId="0" borderId="0" xfId="6" applyNumberFormat="1" applyFont="1" applyFill="1" applyBorder="1"/>
    <xf numFmtId="0" fontId="36" fillId="0" borderId="23" xfId="29" applyFont="1" applyBorder="1" applyAlignment="1">
      <alignment horizontal="left"/>
    </xf>
    <xf numFmtId="0" fontId="36" fillId="0" borderId="11" xfId="11" applyFont="1" applyFill="1" applyBorder="1" applyAlignment="1">
      <alignment horizontal="right"/>
    </xf>
    <xf numFmtId="0" fontId="42" fillId="0" borderId="28" xfId="29" applyFont="1" applyFill="1" applyBorder="1"/>
    <xf numFmtId="0" fontId="62" fillId="5" borderId="28" xfId="29" applyFont="1" applyFill="1" applyBorder="1"/>
    <xf numFmtId="167" fontId="34" fillId="5" borderId="28" xfId="6" applyNumberFormat="1" applyFont="1" applyFill="1" applyBorder="1"/>
    <xf numFmtId="164" fontId="34" fillId="5" borderId="28" xfId="29" applyNumberFormat="1" applyFont="1" applyFill="1" applyBorder="1"/>
    <xf numFmtId="167" fontId="42" fillId="0" borderId="0" xfId="29" applyNumberFormat="1" applyFont="1" applyBorder="1"/>
    <xf numFmtId="167" fontId="34" fillId="0" borderId="30" xfId="6" applyNumberFormat="1" applyFont="1" applyBorder="1"/>
    <xf numFmtId="0" fontId="63" fillId="0" borderId="0" xfId="29" applyFont="1" applyBorder="1"/>
    <xf numFmtId="0" fontId="14" fillId="2" borderId="10" xfId="29" applyFill="1" applyBorder="1"/>
    <xf numFmtId="0" fontId="14" fillId="2" borderId="12" xfId="29" applyFill="1" applyBorder="1"/>
    <xf numFmtId="0" fontId="14" fillId="2" borderId="11" xfId="29" applyFill="1" applyBorder="1"/>
    <xf numFmtId="0" fontId="33" fillId="2" borderId="13" xfId="29" applyFont="1" applyFill="1" applyBorder="1"/>
    <xf numFmtId="0" fontId="14" fillId="2" borderId="14" xfId="29" applyFill="1" applyBorder="1"/>
    <xf numFmtId="0" fontId="24" fillId="2" borderId="14" xfId="29" applyFont="1" applyFill="1" applyBorder="1"/>
    <xf numFmtId="0" fontId="14" fillId="2" borderId="15" xfId="29" applyFill="1" applyBorder="1"/>
    <xf numFmtId="0" fontId="14" fillId="0" borderId="12" xfId="29" applyFill="1" applyBorder="1"/>
    <xf numFmtId="0" fontId="14" fillId="0" borderId="11" xfId="29" applyFill="1" applyBorder="1"/>
    <xf numFmtId="0" fontId="29" fillId="0" borderId="0" xfId="29" applyFont="1" applyFill="1" applyBorder="1"/>
    <xf numFmtId="0" fontId="29" fillId="0" borderId="7" xfId="29" applyFont="1" applyFill="1" applyBorder="1"/>
    <xf numFmtId="0" fontId="40" fillId="0" borderId="0" xfId="29" applyFont="1" applyFill="1" applyBorder="1"/>
    <xf numFmtId="0" fontId="58" fillId="0" borderId="0" xfId="29" applyFont="1" applyFill="1" applyBorder="1"/>
    <xf numFmtId="0" fontId="58" fillId="0" borderId="0" xfId="11" applyFont="1" applyFill="1" applyBorder="1"/>
    <xf numFmtId="0" fontId="34" fillId="0" borderId="0" xfId="11" applyFont="1" applyFill="1" applyBorder="1"/>
    <xf numFmtId="0" fontId="24" fillId="0" borderId="10" xfId="29" applyFont="1" applyFill="1" applyBorder="1"/>
    <xf numFmtId="0" fontId="29" fillId="0" borderId="8" xfId="29" applyFont="1" applyFill="1" applyBorder="1"/>
    <xf numFmtId="164" fontId="29" fillId="0" borderId="13" xfId="6" applyNumberFormat="1" applyFont="1" applyFill="1" applyBorder="1"/>
    <xf numFmtId="0" fontId="29" fillId="0" borderId="14" xfId="29" applyFont="1" applyFill="1" applyBorder="1"/>
    <xf numFmtId="0" fontId="29" fillId="0" borderId="15" xfId="29" applyFont="1" applyFill="1" applyBorder="1"/>
    <xf numFmtId="0" fontId="44" fillId="0" borderId="0" xfId="11" applyFont="1" applyFill="1" applyBorder="1"/>
    <xf numFmtId="0" fontId="12" fillId="0" borderId="8" xfId="40" applyBorder="1"/>
    <xf numFmtId="0" fontId="12" fillId="2" borderId="10" xfId="40" applyFill="1" applyBorder="1"/>
    <xf numFmtId="0" fontId="12" fillId="2" borderId="12" xfId="40" applyFill="1" applyBorder="1"/>
    <xf numFmtId="0" fontId="12" fillId="2" borderId="11" xfId="40" applyFill="1" applyBorder="1"/>
    <xf numFmtId="0" fontId="12" fillId="2" borderId="8" xfId="40" applyFill="1" applyBorder="1"/>
    <xf numFmtId="0" fontId="12" fillId="2" borderId="0" xfId="40" applyFill="1" applyBorder="1"/>
    <xf numFmtId="0" fontId="12" fillId="2" borderId="7" xfId="40" applyFill="1" applyBorder="1"/>
    <xf numFmtId="0" fontId="11" fillId="0" borderId="0" xfId="40" applyFont="1" applyBorder="1"/>
    <xf numFmtId="0" fontId="28" fillId="0" borderId="0" xfId="40" applyFont="1" applyBorder="1"/>
    <xf numFmtId="0" fontId="64" fillId="2" borderId="8" xfId="40" applyFont="1" applyFill="1" applyBorder="1"/>
    <xf numFmtId="0" fontId="32" fillId="2" borderId="0" xfId="40" applyFont="1" applyFill="1" applyBorder="1"/>
    <xf numFmtId="0" fontId="21" fillId="2" borderId="7" xfId="40" applyFont="1" applyFill="1" applyBorder="1"/>
    <xf numFmtId="170" fontId="14" fillId="0" borderId="0" xfId="29" applyNumberFormat="1" applyBorder="1"/>
    <xf numFmtId="0" fontId="14" fillId="0" borderId="0" xfId="29" applyNumberFormat="1" applyBorder="1"/>
    <xf numFmtId="164" fontId="24" fillId="0" borderId="16" xfId="6" applyNumberFormat="1" applyFont="1" applyBorder="1"/>
    <xf numFmtId="0" fontId="9" fillId="0" borderId="0" xfId="45" applyFont="1"/>
    <xf numFmtId="0" fontId="65" fillId="0" borderId="0" xfId="45" applyFont="1"/>
    <xf numFmtId="0" fontId="9" fillId="0" borderId="0" xfId="45"/>
    <xf numFmtId="0" fontId="43" fillId="4" borderId="10" xfId="11" applyFont="1" applyFill="1" applyBorder="1"/>
    <xf numFmtId="0" fontId="34" fillId="3" borderId="11" xfId="29" applyFont="1" applyFill="1" applyBorder="1" applyAlignment="1">
      <alignment horizontal="right"/>
    </xf>
    <xf numFmtId="0" fontId="36" fillId="3" borderId="13" xfId="11" applyFont="1" applyFill="1" applyBorder="1"/>
    <xf numFmtId="0" fontId="34" fillId="3" borderId="15" xfId="29" applyFont="1" applyFill="1" applyBorder="1" applyAlignment="1">
      <alignment horizontal="right"/>
    </xf>
    <xf numFmtId="0" fontId="39" fillId="4" borderId="0" xfId="29" applyFont="1" applyFill="1" applyBorder="1" applyAlignment="1">
      <alignment horizontal="right"/>
    </xf>
    <xf numFmtId="164" fontId="34" fillId="0" borderId="28" xfId="6" applyNumberFormat="1" applyFont="1" applyBorder="1"/>
    <xf numFmtId="0" fontId="40" fillId="0" borderId="0" xfId="29" applyFont="1" applyBorder="1" applyAlignment="1">
      <alignment wrapText="1"/>
    </xf>
    <xf numFmtId="0" fontId="52" fillId="0" borderId="0" xfId="29" applyFont="1" applyBorder="1" applyAlignment="1">
      <alignment wrapText="1"/>
    </xf>
    <xf numFmtId="169" fontId="47" fillId="0" borderId="0" xfId="2" applyNumberFormat="1" applyFont="1" applyBorder="1"/>
    <xf numFmtId="0" fontId="36" fillId="0" borderId="6" xfId="11" applyFont="1" applyFill="1" applyBorder="1"/>
    <xf numFmtId="0" fontId="36" fillId="0" borderId="8" xfId="11" applyFont="1" applyFill="1" applyBorder="1"/>
    <xf numFmtId="167" fontId="34" fillId="0" borderId="2" xfId="11" applyNumberFormat="1" applyFont="1" applyFill="1" applyBorder="1"/>
    <xf numFmtId="168" fontId="34" fillId="0" borderId="2" xfId="11" applyNumberFormat="1" applyFont="1" applyFill="1" applyBorder="1"/>
    <xf numFmtId="169" fontId="36" fillId="0" borderId="2" xfId="2" applyNumberFormat="1" applyFont="1" applyFill="1" applyBorder="1"/>
    <xf numFmtId="9" fontId="42" fillId="0" borderId="2" xfId="2" applyFont="1" applyFill="1" applyBorder="1"/>
    <xf numFmtId="9" fontId="34" fillId="0" borderId="2" xfId="2" applyFont="1" applyFill="1" applyBorder="1"/>
    <xf numFmtId="0" fontId="18" fillId="0" borderId="8" xfId="11" applyFill="1" applyBorder="1"/>
    <xf numFmtId="0" fontId="18" fillId="0" borderId="2" xfId="11" applyFill="1" applyBorder="1"/>
    <xf numFmtId="0" fontId="36" fillId="0" borderId="9" xfId="11" applyFont="1" applyFill="1" applyBorder="1"/>
    <xf numFmtId="0" fontId="36" fillId="0" borderId="10" xfId="11" applyFont="1" applyFill="1" applyBorder="1"/>
    <xf numFmtId="0" fontId="36" fillId="0" borderId="13" xfId="11" applyFont="1" applyFill="1" applyBorder="1"/>
    <xf numFmtId="2" fontId="14" fillId="0" borderId="0" xfId="29" applyNumberFormat="1"/>
    <xf numFmtId="0" fontId="68" fillId="0" borderId="0" xfId="46" applyNumberFormat="1" applyFont="1" applyFill="1" applyBorder="1" applyAlignment="1">
      <alignment horizontal="left" vertical="top"/>
    </xf>
    <xf numFmtId="0" fontId="20" fillId="0" borderId="0" xfId="32" applyFont="1" applyBorder="1"/>
    <xf numFmtId="0" fontId="68" fillId="0" borderId="0" xfId="46" applyNumberFormat="1" applyFont="1" applyFill="1" applyBorder="1" applyAlignment="1">
      <alignment horizontal="right"/>
    </xf>
    <xf numFmtId="49" fontId="69" fillId="0" borderId="0" xfId="46" applyNumberFormat="1" applyFont="1" applyFill="1" applyBorder="1" applyAlignment="1">
      <alignment horizontal="centerContinuous"/>
    </xf>
    <xf numFmtId="171" fontId="68" fillId="0" borderId="0" xfId="46" applyNumberFormat="1" applyFont="1" applyFill="1" applyBorder="1" applyAlignment="1">
      <alignment horizontal="centerContinuous"/>
    </xf>
    <xf numFmtId="0" fontId="72" fillId="0" borderId="0" xfId="46" applyNumberFormat="1" applyFont="1" applyFill="1" applyBorder="1" applyAlignment="1">
      <alignment horizontal="right"/>
    </xf>
    <xf numFmtId="0" fontId="53" fillId="0" borderId="28" xfId="32" applyFont="1" applyBorder="1"/>
    <xf numFmtId="3" fontId="72" fillId="0" borderId="28" xfId="46" applyNumberFormat="1" applyFont="1" applyFill="1" applyBorder="1" applyAlignment="1"/>
    <xf numFmtId="0" fontId="72" fillId="0" borderId="0" xfId="46" applyNumberFormat="1" applyFont="1" applyFill="1" applyBorder="1" applyAlignment="1"/>
    <xf numFmtId="0" fontId="73" fillId="0" borderId="0" xfId="46" applyNumberFormat="1" applyFont="1" applyFill="1" applyBorder="1" applyAlignment="1">
      <alignment horizontal="right"/>
    </xf>
    <xf numFmtId="0" fontId="53" fillId="0" borderId="0" xfId="32" applyFont="1" applyBorder="1"/>
    <xf numFmtId="9" fontId="20" fillId="0" borderId="0" xfId="23" applyFont="1" applyFill="1" applyBorder="1" applyAlignment="1" applyProtection="1">
      <protection locked="0"/>
    </xf>
    <xf numFmtId="0" fontId="74" fillId="0" borderId="0" xfId="46" applyNumberFormat="1" applyFont="1" applyFill="1" applyBorder="1" applyAlignment="1"/>
    <xf numFmtId="172" fontId="53" fillId="0" borderId="0" xfId="37" applyNumberFormat="1" applyFont="1" applyFill="1" applyBorder="1" applyAlignment="1">
      <alignment horizontal="center"/>
    </xf>
    <xf numFmtId="164" fontId="72" fillId="0" borderId="0" xfId="35" applyNumberFormat="1" applyFont="1" applyFill="1" applyBorder="1" applyAlignment="1">
      <alignment horizontal="center"/>
    </xf>
    <xf numFmtId="172" fontId="72" fillId="0" borderId="0" xfId="37" applyNumberFormat="1" applyFont="1" applyFill="1" applyBorder="1" applyAlignment="1">
      <alignment horizontal="center"/>
    </xf>
    <xf numFmtId="9" fontId="75" fillId="0" borderId="0" xfId="23" applyFont="1" applyFill="1" applyBorder="1" applyAlignment="1" applyProtection="1">
      <alignment horizontal="center"/>
      <protection locked="0"/>
    </xf>
    <xf numFmtId="172" fontId="53" fillId="0" borderId="0" xfId="37" applyNumberFormat="1" applyFont="1" applyFill="1" applyBorder="1" applyAlignment="1"/>
    <xf numFmtId="164" fontId="72" fillId="0" borderId="0" xfId="35" applyNumberFormat="1" applyFont="1" applyFill="1" applyBorder="1" applyAlignment="1"/>
    <xf numFmtId="0" fontId="72" fillId="0" borderId="0" xfId="46" applyNumberFormat="1" applyFont="1" applyFill="1" applyBorder="1" applyAlignment="1">
      <alignment horizontal="center"/>
    </xf>
    <xf numFmtId="0" fontId="74" fillId="0" borderId="0" xfId="46" applyNumberFormat="1" applyFont="1" applyFill="1" applyBorder="1" applyAlignment="1">
      <alignment horizontal="center"/>
    </xf>
    <xf numFmtId="172" fontId="53" fillId="0" borderId="0" xfId="37" applyNumberFormat="1" applyFont="1" applyFill="1" applyBorder="1"/>
    <xf numFmtId="0" fontId="74" fillId="0" borderId="0" xfId="46" applyNumberFormat="1" applyFont="1" applyFill="1" applyBorder="1" applyAlignment="1">
      <alignment horizontal="left" indent="1"/>
    </xf>
    <xf numFmtId="9" fontId="38" fillId="0" borderId="0" xfId="23" applyFont="1" applyFill="1" applyBorder="1" applyAlignment="1" applyProtection="1">
      <alignment horizontal="center"/>
      <protection locked="0"/>
    </xf>
    <xf numFmtId="172" fontId="38" fillId="0" borderId="0" xfId="37" applyNumberFormat="1" applyFont="1" applyFill="1" applyBorder="1" applyAlignment="1"/>
    <xf numFmtId="164" fontId="76" fillId="0" borderId="0" xfId="35" applyNumberFormat="1" applyFont="1" applyFill="1" applyBorder="1" applyAlignment="1"/>
    <xf numFmtId="172" fontId="74" fillId="0" borderId="16" xfId="37" applyNumberFormat="1" applyFont="1" applyFill="1" applyBorder="1" applyAlignment="1"/>
    <xf numFmtId="172" fontId="74" fillId="0" borderId="0" xfId="37" applyNumberFormat="1" applyFont="1" applyFill="1" applyBorder="1" applyAlignment="1"/>
    <xf numFmtId="44" fontId="38" fillId="0" borderId="0" xfId="37" applyNumberFormat="1" applyFont="1" applyFill="1" applyBorder="1" applyAlignment="1"/>
    <xf numFmtId="0" fontId="74" fillId="0" borderId="37" xfId="46" applyNumberFormat="1" applyFont="1" applyFill="1" applyBorder="1" applyAlignment="1">
      <alignment horizontal="left" indent="1"/>
    </xf>
    <xf numFmtId="9" fontId="38" fillId="0" borderId="37" xfId="23" applyFont="1" applyFill="1" applyBorder="1" applyAlignment="1" applyProtection="1">
      <alignment horizontal="center"/>
      <protection locked="0"/>
    </xf>
    <xf numFmtId="44" fontId="38" fillId="0" borderId="37" xfId="37" applyNumberFormat="1" applyFont="1" applyFill="1" applyBorder="1" applyAlignment="1"/>
    <xf numFmtId="164" fontId="76" fillId="0" borderId="37" xfId="35" applyNumberFormat="1" applyFont="1" applyFill="1" applyBorder="1" applyAlignment="1"/>
    <xf numFmtId="172" fontId="74" fillId="0" borderId="38" xfId="37" applyNumberFormat="1" applyFont="1" applyFill="1" applyBorder="1" applyAlignment="1"/>
    <xf numFmtId="172" fontId="77" fillId="0" borderId="0" xfId="37" applyNumberFormat="1" applyFont="1" applyFill="1" applyBorder="1" applyAlignment="1"/>
    <xf numFmtId="0" fontId="75" fillId="0" borderId="0" xfId="32" applyFont="1" applyBorder="1"/>
    <xf numFmtId="172" fontId="72" fillId="0" borderId="0" xfId="37" applyNumberFormat="1" applyFont="1" applyFill="1" applyBorder="1" applyAlignment="1"/>
    <xf numFmtId="0" fontId="74" fillId="0" borderId="0" xfId="46" applyNumberFormat="1" applyFont="1" applyFill="1" applyBorder="1" applyAlignment="1">
      <alignment horizontal="left" indent="2"/>
    </xf>
    <xf numFmtId="44" fontId="77" fillId="0" borderId="0" xfId="37" applyNumberFormat="1" applyFont="1" applyFill="1" applyBorder="1" applyAlignment="1"/>
    <xf numFmtId="164" fontId="38" fillId="0" borderId="0" xfId="35" applyNumberFormat="1" applyFont="1" applyFill="1" applyBorder="1" applyAlignment="1"/>
    <xf numFmtId="172" fontId="20" fillId="0" borderId="0" xfId="37" applyNumberFormat="1" applyFont="1" applyFill="1" applyBorder="1" applyAlignment="1"/>
    <xf numFmtId="172" fontId="79" fillId="0" borderId="0" xfId="23" applyNumberFormat="1" applyFont="1" applyFill="1" applyBorder="1" applyAlignment="1" applyProtection="1">
      <protection locked="0" hidden="1"/>
    </xf>
    <xf numFmtId="164" fontId="79" fillId="0" borderId="0" xfId="35" applyNumberFormat="1" applyFont="1" applyFill="1" applyBorder="1" applyAlignment="1"/>
    <xf numFmtId="172" fontId="20" fillId="0" borderId="16" xfId="37" applyNumberFormat="1" applyFont="1" applyFill="1" applyBorder="1" applyAlignment="1"/>
    <xf numFmtId="172" fontId="74" fillId="0" borderId="16" xfId="37" applyNumberFormat="1" applyFont="1" applyFill="1" applyBorder="1" applyAlignment="1" applyProtection="1"/>
    <xf numFmtId="165" fontId="38" fillId="0" borderId="0" xfId="23" applyNumberFormat="1" applyFont="1" applyFill="1" applyBorder="1" applyAlignment="1" applyProtection="1">
      <protection locked="0" hidden="1"/>
    </xf>
    <xf numFmtId="0" fontId="74" fillId="0" borderId="37" xfId="46" applyNumberFormat="1" applyFont="1" applyFill="1" applyBorder="1" applyAlignment="1">
      <alignment horizontal="left" indent="2"/>
    </xf>
    <xf numFmtId="172" fontId="38" fillId="0" borderId="37" xfId="37" applyNumberFormat="1" applyFont="1" applyFill="1" applyBorder="1" applyAlignment="1"/>
    <xf numFmtId="0" fontId="74" fillId="0" borderId="37" xfId="46" applyNumberFormat="1" applyFont="1" applyFill="1" applyBorder="1" applyAlignment="1">
      <alignment horizontal="left"/>
    </xf>
    <xf numFmtId="172" fontId="77" fillId="0" borderId="37" xfId="37" applyNumberFormat="1" applyFont="1" applyFill="1" applyBorder="1" applyAlignment="1"/>
    <xf numFmtId="164" fontId="38" fillId="0" borderId="37" xfId="35" applyNumberFormat="1" applyFont="1" applyFill="1" applyBorder="1" applyAlignment="1"/>
    <xf numFmtId="172" fontId="72" fillId="0" borderId="38" xfId="37" applyNumberFormat="1" applyFont="1" applyFill="1" applyBorder="1" applyAlignment="1"/>
    <xf numFmtId="44" fontId="20" fillId="0" borderId="16" xfId="48" applyFont="1" applyBorder="1"/>
    <xf numFmtId="0" fontId="38" fillId="0" borderId="0" xfId="32" applyFont="1" applyBorder="1"/>
    <xf numFmtId="0" fontId="20" fillId="0" borderId="0" xfId="32" applyFont="1" applyFill="1" applyBorder="1"/>
    <xf numFmtId="172" fontId="79" fillId="0" borderId="37" xfId="37" applyNumberFormat="1" applyFont="1" applyFill="1" applyBorder="1" applyAlignment="1"/>
    <xf numFmtId="172" fontId="75" fillId="0" borderId="0" xfId="37" applyNumberFormat="1" applyFont="1" applyFill="1" applyBorder="1" applyAlignment="1"/>
    <xf numFmtId="172" fontId="72" fillId="0" borderId="0" xfId="48" applyNumberFormat="1" applyFont="1" applyFill="1" applyBorder="1" applyAlignment="1"/>
    <xf numFmtId="172" fontId="80" fillId="0" borderId="0" xfId="32" applyNumberFormat="1" applyFont="1" applyBorder="1" applyAlignment="1">
      <alignment horizontal="center"/>
    </xf>
    <xf numFmtId="172" fontId="53" fillId="0" borderId="0" xfId="32" applyNumberFormat="1" applyFont="1" applyBorder="1"/>
    <xf numFmtId="172" fontId="53" fillId="0" borderId="28" xfId="32" applyNumberFormat="1" applyFont="1" applyBorder="1"/>
    <xf numFmtId="0" fontId="81" fillId="0" borderId="0" xfId="32" applyFont="1" applyBorder="1"/>
    <xf numFmtId="172" fontId="53" fillId="0" borderId="28" xfId="48" applyNumberFormat="1" applyFont="1" applyBorder="1"/>
    <xf numFmtId="0" fontId="72" fillId="0" borderId="0" xfId="46" applyNumberFormat="1" applyFont="1" applyFill="1" applyBorder="1" applyAlignment="1">
      <alignment horizontal="left" indent="1"/>
    </xf>
    <xf numFmtId="0" fontId="20" fillId="0" borderId="0" xfId="32" applyFont="1" applyBorder="1" applyAlignment="1"/>
    <xf numFmtId="172" fontId="72" fillId="0" borderId="28" xfId="37" applyNumberFormat="1" applyFont="1" applyFill="1" applyBorder="1" applyAlignment="1"/>
    <xf numFmtId="9" fontId="38" fillId="0" borderId="0" xfId="49" applyFont="1" applyFill="1" applyBorder="1" applyAlignment="1" applyProtection="1">
      <alignment horizontal="center"/>
      <protection locked="0"/>
    </xf>
    <xf numFmtId="172" fontId="74" fillId="0" borderId="0" xfId="48" applyNumberFormat="1" applyFont="1" applyFill="1" applyBorder="1" applyAlignment="1"/>
    <xf numFmtId="172" fontId="74" fillId="0" borderId="0" xfId="48" applyNumberFormat="1" applyFont="1" applyFill="1" applyBorder="1" applyAlignment="1">
      <alignment horizontal="left" vertical="center"/>
    </xf>
    <xf numFmtId="172" fontId="77" fillId="0" borderId="10" xfId="48" applyNumberFormat="1" applyFont="1" applyFill="1" applyBorder="1" applyAlignment="1"/>
    <xf numFmtId="0" fontId="75" fillId="0" borderId="11" xfId="32" applyFont="1" applyBorder="1"/>
    <xf numFmtId="9" fontId="38" fillId="0" borderId="37" xfId="49" applyFont="1" applyFill="1" applyBorder="1" applyAlignment="1" applyProtection="1">
      <alignment horizontal="center"/>
      <protection locked="0"/>
    </xf>
    <xf numFmtId="172" fontId="74" fillId="0" borderId="8" xfId="48" applyNumberFormat="1" applyFont="1" applyFill="1" applyBorder="1" applyAlignment="1"/>
    <xf numFmtId="172" fontId="74" fillId="0" borderId="39" xfId="37" applyNumberFormat="1" applyFont="1" applyFill="1" applyBorder="1" applyAlignment="1"/>
    <xf numFmtId="172" fontId="72" fillId="0" borderId="13" xfId="37" applyNumberFormat="1" applyFont="1" applyFill="1" applyBorder="1" applyAlignment="1"/>
    <xf numFmtId="0" fontId="82" fillId="0" borderId="0" xfId="46" applyNumberFormat="1" applyFont="1" applyFill="1" applyBorder="1" applyAlignment="1">
      <alignment horizontal="left" indent="1"/>
    </xf>
    <xf numFmtId="169" fontId="83" fillId="0" borderId="0" xfId="49" applyNumberFormat="1" applyFont="1" applyFill="1" applyBorder="1" applyAlignment="1" applyProtection="1">
      <alignment horizontal="center"/>
      <protection locked="0"/>
    </xf>
    <xf numFmtId="37" fontId="83" fillId="0" borderId="0" xfId="50" applyNumberFormat="1" applyFont="1" applyFill="1" applyBorder="1" applyAlignment="1">
      <alignment horizontal="center"/>
    </xf>
    <xf numFmtId="37" fontId="83" fillId="0" borderId="0" xfId="35" applyNumberFormat="1" applyFont="1" applyFill="1" applyBorder="1" applyAlignment="1">
      <alignment horizontal="center"/>
    </xf>
    <xf numFmtId="172" fontId="84" fillId="0" borderId="16" xfId="37" applyNumberFormat="1" applyFont="1" applyFill="1" applyBorder="1" applyAlignment="1"/>
    <xf numFmtId="9" fontId="83" fillId="0" borderId="0" xfId="49" applyFont="1" applyFill="1" applyBorder="1" applyAlignment="1" applyProtection="1">
      <alignment horizontal="center"/>
      <protection locked="0"/>
    </xf>
    <xf numFmtId="39" fontId="83" fillId="0" borderId="0" xfId="50" applyNumberFormat="1" applyFont="1" applyFill="1" applyBorder="1" applyAlignment="1">
      <alignment horizontal="center"/>
    </xf>
    <xf numFmtId="172" fontId="84" fillId="0" borderId="3" xfId="37" applyNumberFormat="1" applyFont="1" applyFill="1" applyBorder="1" applyAlignment="1"/>
    <xf numFmtId="0" fontId="82" fillId="0" borderId="37" xfId="46" applyNumberFormat="1" applyFont="1" applyFill="1" applyBorder="1" applyAlignment="1">
      <alignment horizontal="left" indent="1"/>
    </xf>
    <xf numFmtId="9" fontId="83" fillId="0" borderId="37" xfId="49" applyFont="1" applyFill="1" applyBorder="1" applyAlignment="1" applyProtection="1">
      <alignment horizontal="center"/>
      <protection locked="0"/>
    </xf>
    <xf numFmtId="39" fontId="83" fillId="0" borderId="37" xfId="50" applyNumberFormat="1" applyFont="1" applyFill="1" applyBorder="1" applyAlignment="1">
      <alignment horizontal="center"/>
    </xf>
    <xf numFmtId="37" fontId="83" fillId="0" borderId="37" xfId="35" applyNumberFormat="1" applyFont="1" applyFill="1" applyBorder="1" applyAlignment="1">
      <alignment horizontal="center"/>
    </xf>
    <xf numFmtId="172" fontId="84" fillId="0" borderId="38" xfId="37" applyNumberFormat="1" applyFont="1" applyFill="1" applyBorder="1" applyAlignment="1"/>
    <xf numFmtId="9" fontId="53" fillId="0" borderId="0" xfId="23" applyFont="1" applyFill="1" applyBorder="1" applyAlignment="1" applyProtection="1">
      <protection locked="0"/>
    </xf>
    <xf numFmtId="13" fontId="72" fillId="0" borderId="0" xfId="37" applyNumberFormat="1" applyFont="1" applyFill="1" applyBorder="1" applyAlignment="1">
      <alignment horizontal="right"/>
    </xf>
    <xf numFmtId="164" fontId="20" fillId="0" borderId="0" xfId="35" applyNumberFormat="1" applyFont="1" applyFill="1" applyBorder="1" applyAlignment="1"/>
    <xf numFmtId="10" fontId="72" fillId="0" borderId="0" xfId="23" applyNumberFormat="1" applyFont="1" applyFill="1" applyBorder="1" applyAlignment="1">
      <alignment horizontal="right"/>
    </xf>
    <xf numFmtId="172" fontId="72" fillId="0" borderId="0" xfId="37" applyNumberFormat="1" applyFont="1" applyFill="1" applyBorder="1" applyAlignment="1">
      <alignment horizontal="right"/>
    </xf>
    <xf numFmtId="44" fontId="72" fillId="0" borderId="0" xfId="37" applyNumberFormat="1" applyFont="1" applyFill="1" applyBorder="1" applyAlignment="1">
      <alignment horizontal="right"/>
    </xf>
    <xf numFmtId="172" fontId="82" fillId="0" borderId="16" xfId="37" applyNumberFormat="1" applyFont="1" applyFill="1" applyBorder="1" applyAlignment="1"/>
    <xf numFmtId="0" fontId="72" fillId="0" borderId="0" xfId="46" applyNumberFormat="1" applyFont="1" applyFill="1" applyBorder="1" applyAlignment="1">
      <alignment horizontal="left"/>
    </xf>
    <xf numFmtId="0" fontId="72" fillId="0" borderId="37" xfId="46" quotePrefix="1" applyNumberFormat="1" applyFont="1" applyFill="1" applyBorder="1" applyAlignment="1">
      <alignment horizontal="left"/>
    </xf>
    <xf numFmtId="9" fontId="53" fillId="0" borderId="37" xfId="23" applyFont="1" applyFill="1" applyBorder="1" applyAlignment="1" applyProtection="1">
      <protection locked="0"/>
    </xf>
    <xf numFmtId="44" fontId="72" fillId="0" borderId="37" xfId="37" applyNumberFormat="1" applyFont="1" applyFill="1" applyBorder="1" applyAlignment="1">
      <alignment horizontal="right"/>
    </xf>
    <xf numFmtId="164" fontId="20" fillId="0" borderId="37" xfId="35" applyNumberFormat="1" applyFont="1" applyFill="1" applyBorder="1" applyAlignment="1"/>
    <xf numFmtId="0" fontId="53" fillId="0" borderId="0" xfId="32" applyFont="1"/>
    <xf numFmtId="0" fontId="20" fillId="0" borderId="0" xfId="32" applyFont="1"/>
    <xf numFmtId="9" fontId="20" fillId="0" borderId="0" xfId="23" applyFont="1"/>
    <xf numFmtId="165" fontId="72" fillId="0" borderId="0" xfId="46" applyNumberFormat="1" applyFont="1" applyFill="1" applyBorder="1" applyAlignment="1">
      <alignment horizontal="center"/>
    </xf>
    <xf numFmtId="9" fontId="20" fillId="0" borderId="0" xfId="23" applyFont="1" applyBorder="1"/>
    <xf numFmtId="165" fontId="74" fillId="0" borderId="0" xfId="46" applyNumberFormat="1" applyFont="1" applyFill="1" applyBorder="1" applyAlignment="1">
      <alignment horizontal="center"/>
    </xf>
    <xf numFmtId="0" fontId="20" fillId="0" borderId="0" xfId="32" applyFont="1" applyBorder="1" applyAlignment="1">
      <alignment horizontal="center"/>
    </xf>
    <xf numFmtId="165" fontId="74" fillId="0" borderId="0" xfId="46" applyNumberFormat="1" applyFont="1" applyFill="1" applyBorder="1" applyAlignment="1"/>
    <xf numFmtId="0" fontId="85" fillId="0" borderId="0" xfId="32" applyNumberFormat="1" applyFont="1" applyAlignment="1"/>
    <xf numFmtId="0" fontId="20" fillId="0" borderId="0" xfId="32" applyFont="1" applyAlignment="1">
      <alignment horizontal="center"/>
    </xf>
    <xf numFmtId="0" fontId="86" fillId="0" borderId="0" xfId="32" applyNumberFormat="1" applyFont="1" applyAlignment="1"/>
    <xf numFmtId="172" fontId="86" fillId="0" borderId="0" xfId="32" applyNumberFormat="1" applyFont="1" applyAlignment="1"/>
    <xf numFmtId="0" fontId="87" fillId="0" borderId="0" xfId="32" applyNumberFormat="1" applyFont="1" applyAlignment="1"/>
    <xf numFmtId="172" fontId="20" fillId="0" borderId="0" xfId="32" applyNumberFormat="1" applyFont="1"/>
    <xf numFmtId="172" fontId="20" fillId="0" borderId="0" xfId="32" applyNumberFormat="1" applyFont="1" applyFill="1" applyBorder="1"/>
    <xf numFmtId="44" fontId="20" fillId="0" borderId="0" xfId="32" applyNumberFormat="1" applyFont="1"/>
    <xf numFmtId="44" fontId="20" fillId="0" borderId="0" xfId="32" applyNumberFormat="1" applyFont="1" applyFill="1" applyBorder="1"/>
    <xf numFmtId="0" fontId="20" fillId="0" borderId="0" xfId="46" applyNumberFormat="1" applyFont="1" applyFill="1" applyBorder="1" applyAlignment="1"/>
    <xf numFmtId="0" fontId="53" fillId="0" borderId="0" xfId="46" applyNumberFormat="1" applyFont="1" applyFill="1" applyBorder="1" applyAlignment="1"/>
    <xf numFmtId="0" fontId="8" fillId="0" borderId="0" xfId="40" applyFont="1"/>
    <xf numFmtId="0" fontId="12" fillId="0" borderId="30" xfId="40" applyBorder="1" applyAlignment="1">
      <alignment horizontal="center" vertical="center"/>
    </xf>
    <xf numFmtId="0" fontId="8" fillId="0" borderId="8" xfId="40" applyNumberFormat="1" applyFont="1" applyBorder="1" applyAlignment="1">
      <alignment vertical="center"/>
    </xf>
    <xf numFmtId="0" fontId="12" fillId="0" borderId="0" xfId="40" applyBorder="1" applyAlignment="1">
      <alignment vertical="center"/>
    </xf>
    <xf numFmtId="0" fontId="12" fillId="0" borderId="8" xfId="40" applyNumberFormat="1" applyBorder="1" applyAlignment="1">
      <alignment vertical="center"/>
    </xf>
    <xf numFmtId="0" fontId="12" fillId="0" borderId="0" xfId="40" applyBorder="1" applyAlignment="1">
      <alignment horizontal="left" vertical="center"/>
    </xf>
    <xf numFmtId="0" fontId="12" fillId="0" borderId="8" xfId="40" applyBorder="1" applyAlignment="1">
      <alignment vertical="center"/>
    </xf>
    <xf numFmtId="0" fontId="8" fillId="0" borderId="0" xfId="40" applyFont="1" applyBorder="1" applyAlignment="1">
      <alignment horizontal="left" vertical="center"/>
    </xf>
    <xf numFmtId="0" fontId="12" fillId="3" borderId="0" xfId="40" applyFill="1" applyBorder="1" applyAlignment="1">
      <alignment horizontal="center" vertical="center"/>
    </xf>
    <xf numFmtId="0" fontId="12" fillId="0" borderId="0" xfId="40" applyBorder="1" applyAlignment="1">
      <alignment horizontal="center" vertical="center"/>
    </xf>
    <xf numFmtId="0" fontId="59" fillId="0" borderId="0" xfId="40" applyFont="1" applyBorder="1" applyAlignment="1">
      <alignment vertical="center"/>
    </xf>
    <xf numFmtId="0" fontId="24" fillId="0" borderId="0" xfId="40" applyFont="1" applyBorder="1" applyAlignment="1">
      <alignment vertical="center"/>
    </xf>
    <xf numFmtId="164" fontId="59" fillId="0" borderId="0" xfId="40" applyNumberFormat="1" applyFont="1" applyBorder="1" applyAlignment="1">
      <alignment vertical="center"/>
    </xf>
    <xf numFmtId="0" fontId="28" fillId="0" borderId="30" xfId="40" applyFont="1" applyBorder="1" applyAlignment="1">
      <alignment horizontal="center" vertical="center"/>
    </xf>
    <xf numFmtId="0" fontId="24" fillId="0" borderId="8" xfId="40" applyFont="1" applyBorder="1" applyAlignment="1">
      <alignment vertical="center"/>
    </xf>
    <xf numFmtId="0" fontId="40" fillId="0" borderId="8" xfId="40" applyFont="1" applyBorder="1" applyAlignment="1">
      <alignment vertical="center"/>
    </xf>
    <xf numFmtId="0" fontId="8" fillId="0" borderId="0" xfId="40" applyFont="1" applyBorder="1" applyAlignment="1">
      <alignment horizontal="center"/>
    </xf>
    <xf numFmtId="0" fontId="35" fillId="0" borderId="0" xfId="40" applyFont="1" applyBorder="1" applyAlignment="1">
      <alignment horizontal="centerContinuous" vertical="center"/>
    </xf>
    <xf numFmtId="0" fontId="12" fillId="0" borderId="0" xfId="40" applyBorder="1" applyAlignment="1">
      <alignment horizontal="centerContinuous"/>
    </xf>
    <xf numFmtId="0" fontId="28" fillId="0" borderId="46" xfId="40" applyFont="1" applyFill="1" applyBorder="1" applyAlignment="1">
      <alignment horizontal="centerContinuous" vertical="center" wrapText="1"/>
    </xf>
    <xf numFmtId="0" fontId="28" fillId="0" borderId="36" xfId="40" applyFont="1" applyFill="1" applyBorder="1" applyAlignment="1">
      <alignment horizontal="centerContinuous" vertical="center" wrapText="1"/>
    </xf>
    <xf numFmtId="0" fontId="12" fillId="0" borderId="0" xfId="40" applyBorder="1" applyAlignment="1">
      <alignment horizontal="centerContinuous" vertical="center"/>
    </xf>
    <xf numFmtId="0" fontId="59" fillId="0" borderId="0" xfId="40" applyFont="1" applyBorder="1" applyAlignment="1">
      <alignment horizontal="centerContinuous" vertical="center"/>
    </xf>
    <xf numFmtId="0" fontId="8" fillId="0" borderId="0" xfId="40" applyFont="1" applyBorder="1" applyAlignment="1">
      <alignment horizontal="centerContinuous" vertical="center"/>
    </xf>
    <xf numFmtId="9" fontId="12" fillId="0" borderId="26" xfId="42" applyFont="1" applyBorder="1" applyAlignment="1">
      <alignment horizontal="centerContinuous" vertical="center"/>
    </xf>
    <xf numFmtId="9" fontId="12" fillId="0" borderId="29" xfId="42" applyFont="1" applyBorder="1" applyAlignment="1">
      <alignment horizontal="centerContinuous" vertical="center"/>
    </xf>
    <xf numFmtId="9" fontId="12" fillId="0" borderId="16" xfId="42" applyFont="1" applyBorder="1" applyAlignment="1">
      <alignment horizontal="centerContinuous" vertical="center"/>
    </xf>
    <xf numFmtId="9" fontId="12" fillId="0" borderId="18" xfId="42" applyFont="1" applyBorder="1" applyAlignment="1">
      <alignment horizontal="centerContinuous" vertical="center"/>
    </xf>
    <xf numFmtId="0" fontId="12" fillId="0" borderId="24" xfId="40" applyBorder="1" applyAlignment="1">
      <alignment horizontal="centerContinuous" vertical="center"/>
    </xf>
    <xf numFmtId="0" fontId="12" fillId="0" borderId="0" xfId="40" applyBorder="1" applyAlignment="1">
      <alignment horizontal="right"/>
    </xf>
    <xf numFmtId="0" fontId="7" fillId="0" borderId="0" xfId="40" applyFont="1"/>
    <xf numFmtId="0" fontId="31" fillId="0" borderId="45" xfId="40" applyFont="1" applyFill="1" applyBorder="1" applyAlignment="1">
      <alignment horizontal="centerContinuous" vertical="center" wrapText="1"/>
    </xf>
    <xf numFmtId="0" fontId="7" fillId="0" borderId="0" xfId="40" applyFont="1" applyBorder="1" applyAlignment="1">
      <alignment horizontal="center"/>
    </xf>
    <xf numFmtId="0" fontId="12" fillId="0" borderId="52" xfId="40" applyBorder="1" applyAlignment="1">
      <alignment horizontal="center"/>
    </xf>
    <xf numFmtId="0" fontId="12" fillId="0" borderId="52" xfId="40" applyBorder="1"/>
    <xf numFmtId="0" fontId="59" fillId="0" borderId="0" xfId="40" applyFont="1" applyBorder="1" applyAlignment="1">
      <alignment horizontal="centerContinuous" vertical="center" wrapText="1"/>
    </xf>
    <xf numFmtId="0" fontId="41" fillId="0" borderId="28" xfId="29" applyFont="1" applyBorder="1" applyAlignment="1">
      <alignment wrapText="1"/>
    </xf>
    <xf numFmtId="164" fontId="31" fillId="3" borderId="16" xfId="6" applyNumberFormat="1" applyFont="1" applyFill="1" applyBorder="1"/>
    <xf numFmtId="164" fontId="31" fillId="0" borderId="16" xfId="6" applyNumberFormat="1" applyFont="1" applyBorder="1"/>
    <xf numFmtId="37" fontId="104" fillId="3" borderId="42" xfId="41" applyNumberFormat="1" applyFont="1" applyFill="1" applyBorder="1" applyAlignment="1">
      <alignment horizontal="centerContinuous" vertical="center"/>
    </xf>
    <xf numFmtId="37" fontId="104" fillId="3" borderId="43" xfId="41" applyNumberFormat="1" applyFont="1" applyFill="1" applyBorder="1" applyAlignment="1">
      <alignment horizontal="centerContinuous" vertical="center"/>
    </xf>
    <xf numFmtId="14" fontId="104" fillId="0" borderId="42" xfId="40" applyNumberFormat="1" applyFont="1" applyBorder="1" applyAlignment="1">
      <alignment horizontal="centerContinuous" vertical="center"/>
    </xf>
    <xf numFmtId="0" fontId="104" fillId="0" borderId="26" xfId="40" applyFont="1" applyBorder="1" applyAlignment="1">
      <alignment horizontal="centerContinuous" vertical="center"/>
    </xf>
    <xf numFmtId="0" fontId="104" fillId="0" borderId="29" xfId="40" applyFont="1" applyBorder="1" applyAlignment="1">
      <alignment horizontal="centerContinuous" vertical="center"/>
    </xf>
    <xf numFmtId="0" fontId="104" fillId="0" borderId="43" xfId="40" applyFont="1" applyBorder="1" applyAlignment="1">
      <alignment horizontal="centerContinuous" vertical="center"/>
    </xf>
    <xf numFmtId="0" fontId="105" fillId="0" borderId="16" xfId="40" applyFont="1" applyBorder="1" applyAlignment="1">
      <alignment horizontal="centerContinuous" vertical="center"/>
    </xf>
    <xf numFmtId="0" fontId="105" fillId="0" borderId="18" xfId="40" applyFont="1" applyBorder="1" applyAlignment="1">
      <alignment horizontal="centerContinuous" vertical="center"/>
    </xf>
    <xf numFmtId="37" fontId="105" fillId="3" borderId="26" xfId="41" applyNumberFormat="1" applyFont="1" applyFill="1" applyBorder="1" applyAlignment="1">
      <alignment horizontal="centerContinuous" vertical="center"/>
    </xf>
    <xf numFmtId="37" fontId="105" fillId="3" borderId="29" xfId="41" applyNumberFormat="1" applyFont="1" applyFill="1" applyBorder="1" applyAlignment="1">
      <alignment horizontal="centerContinuous" vertical="center"/>
    </xf>
    <xf numFmtId="37" fontId="105" fillId="3" borderId="16" xfId="41" applyNumberFormat="1" applyFont="1" applyFill="1" applyBorder="1" applyAlignment="1">
      <alignment horizontal="centerContinuous" vertical="center"/>
    </xf>
    <xf numFmtId="37" fontId="105" fillId="3" borderId="18" xfId="41" applyNumberFormat="1" applyFont="1" applyFill="1" applyBorder="1" applyAlignment="1">
      <alignment horizontal="centerContinuous" vertical="center"/>
    </xf>
    <xf numFmtId="37" fontId="105" fillId="3" borderId="22" xfId="41" applyNumberFormat="1" applyFont="1" applyFill="1" applyBorder="1" applyAlignment="1">
      <alignment horizontal="centerContinuous" vertical="center"/>
    </xf>
    <xf numFmtId="37" fontId="105" fillId="3" borderId="19" xfId="41" applyNumberFormat="1" applyFont="1" applyFill="1" applyBorder="1" applyAlignment="1">
      <alignment horizontal="centerContinuous" vertical="center"/>
    </xf>
    <xf numFmtId="3" fontId="104" fillId="0" borderId="5" xfId="40" applyNumberFormat="1" applyFont="1" applyBorder="1" applyAlignment="1">
      <alignment horizontal="center"/>
    </xf>
    <xf numFmtId="165" fontId="104" fillId="0" borderId="47" xfId="40" applyNumberFormat="1" applyFont="1" applyBorder="1" applyAlignment="1">
      <alignment horizontal="center"/>
    </xf>
    <xf numFmtId="3" fontId="104" fillId="0" borderId="47" xfId="40" applyNumberFormat="1" applyFont="1" applyBorder="1" applyAlignment="1">
      <alignment horizontal="center"/>
    </xf>
    <xf numFmtId="3" fontId="104" fillId="0" borderId="35" xfId="40" applyNumberFormat="1" applyFont="1" applyBorder="1" applyAlignment="1">
      <alignment horizontal="center"/>
    </xf>
    <xf numFmtId="165" fontId="104" fillId="0" borderId="16" xfId="40" quotePrefix="1" applyNumberFormat="1" applyFont="1" applyBorder="1" applyAlignment="1">
      <alignment horizontal="center"/>
    </xf>
    <xf numFmtId="3" fontId="104" fillId="0" borderId="16" xfId="40" applyNumberFormat="1" applyFont="1" applyBorder="1" applyAlignment="1">
      <alignment horizontal="center"/>
    </xf>
    <xf numFmtId="3" fontId="104" fillId="0" borderId="49" xfId="40" applyNumberFormat="1" applyFont="1" applyBorder="1" applyAlignment="1">
      <alignment horizontal="center"/>
    </xf>
    <xf numFmtId="165" fontId="104" fillId="0" borderId="50" xfId="40" quotePrefix="1" applyNumberFormat="1" applyFont="1" applyBorder="1" applyAlignment="1">
      <alignment horizontal="center"/>
    </xf>
    <xf numFmtId="3" fontId="104" fillId="0" borderId="50" xfId="40" applyNumberFormat="1" applyFont="1" applyBorder="1" applyAlignment="1">
      <alignment horizontal="center"/>
    </xf>
    <xf numFmtId="165" fontId="104" fillId="0" borderId="16" xfId="40" applyNumberFormat="1" applyFont="1" applyBorder="1" applyAlignment="1">
      <alignment horizontal="center"/>
    </xf>
    <xf numFmtId="165" fontId="104" fillId="0" borderId="50" xfId="40" applyNumberFormat="1" applyFont="1" applyBorder="1" applyAlignment="1">
      <alignment horizontal="center"/>
    </xf>
    <xf numFmtId="165" fontId="104" fillId="0" borderId="48" xfId="40" applyNumberFormat="1" applyFont="1" applyBorder="1" applyAlignment="1">
      <alignment horizontal="center"/>
    </xf>
    <xf numFmtId="165" fontId="104" fillId="0" borderId="32" xfId="40" applyNumberFormat="1" applyFont="1" applyBorder="1" applyAlignment="1">
      <alignment horizontal="center"/>
    </xf>
    <xf numFmtId="165" fontId="104" fillId="0" borderId="51" xfId="40" applyNumberFormat="1" applyFont="1" applyBorder="1" applyAlignment="1">
      <alignment horizontal="center"/>
    </xf>
    <xf numFmtId="10" fontId="104" fillId="0" borderId="45" xfId="2" applyNumberFormat="1" applyFont="1" applyFill="1" applyBorder="1" applyAlignment="1">
      <alignment horizontal="centerContinuous" vertical="center" wrapText="1"/>
    </xf>
    <xf numFmtId="9" fontId="105" fillId="0" borderId="36" xfId="2" applyFont="1" applyFill="1" applyBorder="1" applyAlignment="1">
      <alignment horizontal="centerContinuous" vertical="center" wrapText="1"/>
    </xf>
    <xf numFmtId="9" fontId="105" fillId="0" borderId="46" xfId="2" applyFont="1" applyFill="1" applyBorder="1" applyAlignment="1">
      <alignment horizontal="centerContinuous" vertical="center" wrapText="1"/>
    </xf>
    <xf numFmtId="10" fontId="105" fillId="0" borderId="36" xfId="2" applyNumberFormat="1" applyFont="1" applyFill="1" applyBorder="1" applyAlignment="1">
      <alignment horizontal="centerContinuous" vertical="center" wrapText="1"/>
    </xf>
    <xf numFmtId="10" fontId="105" fillId="0" borderId="46" xfId="2" applyNumberFormat="1" applyFont="1" applyFill="1" applyBorder="1" applyAlignment="1">
      <alignment horizontal="centerContinuous" vertical="center" wrapText="1"/>
    </xf>
    <xf numFmtId="0" fontId="104" fillId="3" borderId="24" xfId="40" applyFont="1" applyFill="1" applyBorder="1" applyAlignment="1">
      <alignment horizontal="centerContinuous" vertical="center"/>
    </xf>
    <xf numFmtId="0" fontId="104" fillId="3" borderId="25" xfId="40" applyFont="1" applyFill="1" applyBorder="1" applyAlignment="1">
      <alignment horizontal="centerContinuous" vertical="center"/>
    </xf>
    <xf numFmtId="0" fontId="104" fillId="3" borderId="10" xfId="40" applyFont="1" applyFill="1" applyBorder="1" applyAlignment="1">
      <alignment horizontal="centerContinuous" vertical="center"/>
    </xf>
    <xf numFmtId="0" fontId="104" fillId="3" borderId="12" xfId="40" applyFont="1" applyFill="1" applyBorder="1" applyAlignment="1">
      <alignment horizontal="centerContinuous" vertical="center"/>
    </xf>
    <xf numFmtId="0" fontId="104" fillId="3" borderId="11" xfId="40" applyFont="1" applyFill="1" applyBorder="1" applyAlignment="1">
      <alignment horizontal="centerContinuous" vertical="center"/>
    </xf>
    <xf numFmtId="0" fontId="104" fillId="3" borderId="23" xfId="40" applyFont="1" applyFill="1" applyBorder="1" applyAlignment="1">
      <alignment horizontal="centerContinuous" vertical="center"/>
    </xf>
    <xf numFmtId="0" fontId="41" fillId="0" borderId="7" xfId="11" applyFont="1" applyBorder="1" applyAlignment="1">
      <alignment horizontal="right"/>
    </xf>
    <xf numFmtId="9" fontId="106" fillId="0" borderId="0" xfId="29" applyNumberFormat="1" applyFont="1" applyBorder="1"/>
    <xf numFmtId="0" fontId="107" fillId="2" borderId="0" xfId="46" applyNumberFormat="1" applyFont="1" applyFill="1" applyBorder="1" applyAlignment="1"/>
    <xf numFmtId="9" fontId="108" fillId="2" borderId="0" xfId="23" applyFont="1" applyFill="1" applyBorder="1" applyAlignment="1" applyProtection="1">
      <alignment horizontal="left" wrapText="1"/>
      <protection locked="0"/>
    </xf>
    <xf numFmtId="172" fontId="109" fillId="2" borderId="0" xfId="37" applyNumberFormat="1" applyFont="1" applyFill="1" applyBorder="1"/>
    <xf numFmtId="164" fontId="109" fillId="2" borderId="0" xfId="35" applyNumberFormat="1" applyFont="1" applyFill="1" applyBorder="1"/>
    <xf numFmtId="172" fontId="107" fillId="2" borderId="0" xfId="37" applyNumberFormat="1" applyFont="1" applyFill="1" applyBorder="1"/>
    <xf numFmtId="172" fontId="20" fillId="11" borderId="0" xfId="37" applyNumberFormat="1" applyFont="1" applyFill="1" applyBorder="1" applyAlignment="1"/>
    <xf numFmtId="0" fontId="110" fillId="11" borderId="0" xfId="46" applyNumberFormat="1" applyFont="1" applyFill="1" applyBorder="1" applyAlignment="1">
      <alignment horizontal="left" indent="1"/>
    </xf>
    <xf numFmtId="9" fontId="79" fillId="11" borderId="0" xfId="23" quotePrefix="1" applyFont="1" applyFill="1" applyBorder="1" applyAlignment="1" applyProtection="1">
      <alignment horizontal="center"/>
      <protection locked="0"/>
    </xf>
    <xf numFmtId="172" fontId="79" fillId="11" borderId="0" xfId="37" applyNumberFormat="1" applyFont="1" applyFill="1" applyBorder="1" applyAlignment="1"/>
    <xf numFmtId="164" fontId="79" fillId="11" borderId="0" xfId="35" applyNumberFormat="1" applyFont="1" applyFill="1" applyBorder="1" applyAlignment="1"/>
    <xf numFmtId="172" fontId="110" fillId="11" borderId="0" xfId="37" applyNumberFormat="1" applyFont="1" applyFill="1" applyBorder="1" applyAlignment="1"/>
    <xf numFmtId="10" fontId="79" fillId="11" borderId="0" xfId="23" applyNumberFormat="1" applyFont="1" applyFill="1" applyBorder="1" applyAlignment="1" applyProtection="1">
      <alignment horizontal="center"/>
      <protection locked="0"/>
    </xf>
    <xf numFmtId="172" fontId="79" fillId="11" borderId="0" xfId="23" applyNumberFormat="1" applyFont="1" applyFill="1" applyBorder="1" applyAlignment="1" applyProtection="1">
      <protection locked="0" hidden="1"/>
    </xf>
    <xf numFmtId="9" fontId="109" fillId="11" borderId="0" xfId="23" applyFont="1" applyFill="1" applyBorder="1" applyAlignment="1" applyProtection="1">
      <alignment horizontal="center"/>
      <protection locked="0"/>
    </xf>
    <xf numFmtId="172" fontId="72" fillId="12" borderId="0" xfId="37" applyNumberFormat="1" applyFont="1" applyFill="1" applyBorder="1" applyAlignment="1"/>
    <xf numFmtId="0" fontId="72" fillId="12" borderId="20" xfId="46" applyNumberFormat="1" applyFont="1" applyFill="1" applyBorder="1" applyAlignment="1">
      <alignment horizontal="center"/>
    </xf>
    <xf numFmtId="9" fontId="53" fillId="12" borderId="21" xfId="23" applyFont="1" applyFill="1" applyBorder="1" applyAlignment="1" applyProtection="1">
      <alignment horizontal="center"/>
      <protection locked="0"/>
    </xf>
    <xf numFmtId="172" fontId="72" fillId="12" borderId="55" xfId="37" applyNumberFormat="1" applyFont="1" applyFill="1" applyBorder="1" applyAlignment="1"/>
    <xf numFmtId="172" fontId="72" fillId="12" borderId="54" xfId="37" applyNumberFormat="1" applyFont="1" applyFill="1" applyBorder="1" applyAlignment="1"/>
    <xf numFmtId="172" fontId="72" fillId="12" borderId="7" xfId="37" applyNumberFormat="1" applyFont="1" applyFill="1" applyBorder="1" applyAlignment="1"/>
    <xf numFmtId="172" fontId="72" fillId="12" borderId="15" xfId="37" applyNumberFormat="1" applyFont="1" applyFill="1" applyBorder="1" applyAlignment="1"/>
    <xf numFmtId="172" fontId="72" fillId="12" borderId="56" xfId="37" applyNumberFormat="1" applyFont="1" applyFill="1" applyBorder="1" applyAlignment="1"/>
    <xf numFmtId="172" fontId="72" fillId="12" borderId="28" xfId="37" applyNumberFormat="1" applyFont="1" applyFill="1" applyBorder="1" applyAlignment="1"/>
    <xf numFmtId="172" fontId="72" fillId="12" borderId="53" xfId="37" applyNumberFormat="1" applyFont="1" applyFill="1" applyBorder="1" applyAlignment="1"/>
    <xf numFmtId="172" fontId="74" fillId="12" borderId="23" xfId="37" applyNumberFormat="1" applyFont="1" applyFill="1" applyBorder="1" applyAlignment="1"/>
    <xf numFmtId="172" fontId="72" fillId="12" borderId="25" xfId="37" applyNumberFormat="1" applyFont="1" applyFill="1" applyBorder="1" applyAlignment="1"/>
    <xf numFmtId="7" fontId="72" fillId="12" borderId="20" xfId="37" applyNumberFormat="1" applyFont="1" applyFill="1" applyBorder="1" applyAlignment="1"/>
    <xf numFmtId="7" fontId="72" fillId="12" borderId="30" xfId="37" applyNumberFormat="1" applyFont="1" applyFill="1" applyBorder="1" applyAlignment="1"/>
    <xf numFmtId="7" fontId="72" fillId="12" borderId="21" xfId="37" applyNumberFormat="1" applyFont="1" applyFill="1" applyBorder="1" applyAlignment="1"/>
    <xf numFmtId="3" fontId="31" fillId="0" borderId="34" xfId="40" applyNumberFormat="1" applyFont="1" applyFill="1" applyBorder="1" applyAlignment="1">
      <alignment horizontal="centerContinuous" vertical="center" wrapText="1"/>
    </xf>
    <xf numFmtId="3" fontId="28" fillId="0" borderId="34" xfId="40" applyNumberFormat="1" applyFont="1" applyFill="1" applyBorder="1" applyAlignment="1">
      <alignment horizontal="centerContinuous" vertical="center" wrapText="1"/>
    </xf>
    <xf numFmtId="3" fontId="30" fillId="0" borderId="34" xfId="40" applyNumberFormat="1" applyFont="1" applyFill="1" applyBorder="1" applyAlignment="1">
      <alignment horizontal="centerContinuous" vertical="center" wrapText="1"/>
    </xf>
    <xf numFmtId="0" fontId="104" fillId="10" borderId="33" xfId="40" applyFont="1" applyFill="1" applyBorder="1" applyAlignment="1">
      <alignment horizontal="centerContinuous" vertical="center" wrapText="1"/>
    </xf>
    <xf numFmtId="37" fontId="105" fillId="3" borderId="44" xfId="41" applyNumberFormat="1" applyFont="1" applyFill="1" applyBorder="1" applyAlignment="1">
      <alignment horizontal="centerContinuous" vertical="center"/>
    </xf>
    <xf numFmtId="9" fontId="24" fillId="0" borderId="22" xfId="42" applyFont="1" applyBorder="1" applyAlignment="1">
      <alignment horizontal="centerContinuous" vertical="center"/>
    </xf>
    <xf numFmtId="9" fontId="24" fillId="0" borderId="19" xfId="42" applyFont="1" applyBorder="1" applyAlignment="1">
      <alignment horizontal="centerContinuous" vertical="center"/>
    </xf>
    <xf numFmtId="0" fontId="12" fillId="0" borderId="0" xfId="40" applyAlignment="1">
      <alignment horizontal="centerContinuous"/>
    </xf>
    <xf numFmtId="0" fontId="30" fillId="3" borderId="16" xfId="13" applyFont="1" applyFill="1" applyBorder="1"/>
    <xf numFmtId="0" fontId="30" fillId="3" borderId="22" xfId="13" applyFont="1" applyFill="1" applyBorder="1"/>
    <xf numFmtId="0" fontId="104" fillId="10" borderId="23" xfId="40" applyFont="1" applyFill="1" applyBorder="1" applyAlignment="1">
      <alignment horizontal="centerContinuous"/>
    </xf>
    <xf numFmtId="0" fontId="104" fillId="10" borderId="24" xfId="40" applyFont="1" applyFill="1" applyBorder="1" applyAlignment="1">
      <alignment horizontal="centerContinuous"/>
    </xf>
    <xf numFmtId="0" fontId="104" fillId="10" borderId="25" xfId="40" applyFont="1" applyFill="1" applyBorder="1" applyAlignment="1">
      <alignment horizontal="centerContinuous"/>
    </xf>
    <xf numFmtId="0" fontId="41" fillId="3" borderId="20" xfId="11" applyFont="1" applyFill="1" applyBorder="1" applyAlignment="1">
      <alignment horizontal="right"/>
    </xf>
    <xf numFmtId="10" fontId="12" fillId="0" borderId="42" xfId="42" applyNumberFormat="1" applyFont="1" applyBorder="1" applyAlignment="1">
      <alignment horizontal="centerContinuous" vertical="center"/>
    </xf>
    <xf numFmtId="10" fontId="12" fillId="0" borderId="43" xfId="42" applyNumberFormat="1" applyFont="1" applyBorder="1" applyAlignment="1">
      <alignment horizontal="centerContinuous" vertical="center"/>
    </xf>
    <xf numFmtId="10" fontId="24" fillId="0" borderId="44" xfId="42" applyNumberFormat="1" applyFont="1" applyBorder="1" applyAlignment="1">
      <alignment horizontal="centerContinuous" vertical="center"/>
    </xf>
    <xf numFmtId="0" fontId="104" fillId="0" borderId="58" xfId="40" applyFont="1" applyBorder="1" applyAlignment="1">
      <alignment horizontal="centerContinuous" vertical="center"/>
    </xf>
    <xf numFmtId="0" fontId="105" fillId="0" borderId="57" xfId="40" applyFont="1" applyBorder="1" applyAlignment="1">
      <alignment horizontal="centerContinuous" vertical="center"/>
    </xf>
    <xf numFmtId="0" fontId="105" fillId="0" borderId="59" xfId="40" applyFont="1" applyBorder="1" applyAlignment="1">
      <alignment horizontal="centerContinuous" vertical="center"/>
    </xf>
    <xf numFmtId="0" fontId="6" fillId="0" borderId="0" xfId="29" applyFont="1" applyBorder="1"/>
    <xf numFmtId="168" fontId="6" fillId="0" borderId="0" xfId="29" applyNumberFormat="1" applyFont="1" applyBorder="1"/>
    <xf numFmtId="43" fontId="6" fillId="0" borderId="0" xfId="29" applyNumberFormat="1" applyFont="1" applyBorder="1"/>
    <xf numFmtId="0" fontId="7" fillId="0" borderId="0" xfId="40" applyFont="1" applyAlignment="1">
      <alignment horizontal="left" indent="2"/>
    </xf>
    <xf numFmtId="0" fontId="104" fillId="3" borderId="0" xfId="40" applyFont="1" applyFill="1" applyBorder="1" applyAlignment="1">
      <alignment horizontal="centerContinuous" vertical="center"/>
    </xf>
    <xf numFmtId="10" fontId="104" fillId="3" borderId="23" xfId="2" applyNumberFormat="1" applyFont="1" applyFill="1" applyBorder="1" applyAlignment="1">
      <alignment horizontal="centerContinuous" vertical="center"/>
    </xf>
    <xf numFmtId="10" fontId="104" fillId="3" borderId="24" xfId="40" applyNumberFormat="1" applyFont="1" applyFill="1" applyBorder="1" applyAlignment="1">
      <alignment horizontal="centerContinuous" vertical="center"/>
    </xf>
    <xf numFmtId="10" fontId="104" fillId="3" borderId="25" xfId="40" applyNumberFormat="1" applyFont="1" applyFill="1" applyBorder="1" applyAlignment="1">
      <alignment horizontal="centerContinuous" vertical="center"/>
    </xf>
    <xf numFmtId="0" fontId="7" fillId="0" borderId="0" xfId="40" applyFont="1" applyAlignment="1">
      <alignment horizontal="left" vertical="center" wrapText="1" indent="2"/>
    </xf>
    <xf numFmtId="0" fontId="28" fillId="0" borderId="8" xfId="40" applyFont="1" applyBorder="1" applyAlignment="1">
      <alignment horizontal="center" vertical="center"/>
    </xf>
    <xf numFmtId="0" fontId="12" fillId="0" borderId="8" xfId="40" applyBorder="1" applyAlignment="1">
      <alignment horizontal="center" vertical="center"/>
    </xf>
    <xf numFmtId="0" fontId="12" fillId="0" borderId="61" xfId="40" applyBorder="1" applyAlignment="1">
      <alignment horizontal="center"/>
    </xf>
    <xf numFmtId="0" fontId="12" fillId="0" borderId="61" xfId="40" applyBorder="1"/>
    <xf numFmtId="0" fontId="113" fillId="0" borderId="0" xfId="40" applyFont="1" applyBorder="1" applyAlignment="1">
      <alignment horizontal="centerContinuous" vertical="center" wrapText="1"/>
    </xf>
    <xf numFmtId="0" fontId="114" fillId="0" borderId="0" xfId="40" applyFont="1"/>
    <xf numFmtId="0" fontId="114" fillId="0" borderId="0" xfId="40" applyFont="1" applyAlignment="1">
      <alignment horizontal="centerContinuous" vertical="center"/>
    </xf>
    <xf numFmtId="0" fontId="104" fillId="3" borderId="14" xfId="40" applyFont="1" applyFill="1" applyBorder="1" applyAlignment="1">
      <alignment horizontal="centerContinuous" vertical="center"/>
    </xf>
    <xf numFmtId="0" fontId="104" fillId="3" borderId="15" xfId="40" applyFont="1" applyFill="1" applyBorder="1" applyAlignment="1">
      <alignment horizontal="centerContinuous" vertical="center"/>
    </xf>
    <xf numFmtId="0" fontId="40" fillId="0" borderId="0" xfId="40" applyFont="1" applyBorder="1" applyAlignment="1">
      <alignment vertical="center"/>
    </xf>
    <xf numFmtId="0" fontId="104" fillId="6" borderId="44" xfId="40" applyFont="1" applyFill="1" applyBorder="1" applyAlignment="1">
      <alignment horizontal="centerContinuous" vertical="center"/>
    </xf>
    <xf numFmtId="7" fontId="12" fillId="0" borderId="0" xfId="40" applyNumberFormat="1"/>
    <xf numFmtId="5" fontId="104" fillId="3" borderId="23" xfId="1" applyNumberFormat="1" applyFont="1" applyFill="1" applyBorder="1" applyAlignment="1">
      <alignment horizontal="centerContinuous" vertical="center"/>
    </xf>
    <xf numFmtId="5" fontId="104" fillId="3" borderId="24" xfId="1" applyNumberFormat="1" applyFont="1" applyFill="1" applyBorder="1" applyAlignment="1">
      <alignment horizontal="centerContinuous" vertical="center"/>
    </xf>
    <xf numFmtId="5" fontId="104" fillId="3" borderId="25" xfId="1" applyNumberFormat="1" applyFont="1" applyFill="1" applyBorder="1" applyAlignment="1">
      <alignment horizontal="centerContinuous" vertical="center"/>
    </xf>
    <xf numFmtId="172" fontId="12" fillId="0" borderId="60" xfId="1" applyNumberFormat="1" applyFont="1" applyBorder="1"/>
    <xf numFmtId="0" fontId="117" fillId="0" borderId="0" xfId="40" applyFont="1"/>
    <xf numFmtId="0" fontId="113" fillId="0" borderId="0" xfId="40" applyFont="1" applyBorder="1" applyAlignment="1">
      <alignment horizontal="centerContinuous" vertical="center"/>
    </xf>
    <xf numFmtId="0" fontId="118" fillId="0" borderId="0" xfId="40" applyFont="1"/>
    <xf numFmtId="0" fontId="21" fillId="3" borderId="0" xfId="13" applyFont="1" applyFill="1" applyBorder="1" applyAlignment="1">
      <alignment horizontal="centerContinuous"/>
    </xf>
    <xf numFmtId="169" fontId="21" fillId="3" borderId="0" xfId="2" applyNumberFormat="1" applyFont="1" applyFill="1" applyBorder="1" applyAlignment="1">
      <alignment horizontal="centerContinuous"/>
    </xf>
    <xf numFmtId="0" fontId="119" fillId="3" borderId="0" xfId="40" applyFont="1" applyFill="1" applyAlignment="1">
      <alignment horizontal="centerContinuous"/>
    </xf>
    <xf numFmtId="0" fontId="21" fillId="3" borderId="0" xfId="40" applyFont="1" applyFill="1" applyAlignment="1">
      <alignment horizontal="centerContinuous"/>
    </xf>
    <xf numFmtId="0" fontId="31" fillId="0" borderId="0" xfId="40" applyFont="1" applyFill="1" applyBorder="1" applyAlignment="1">
      <alignment horizontal="centerContinuous" vertical="center" wrapText="1"/>
    </xf>
    <xf numFmtId="0" fontId="28" fillId="0" borderId="0" xfId="40" applyFont="1" applyFill="1" applyBorder="1" applyAlignment="1">
      <alignment horizontal="centerContinuous" vertical="center" wrapText="1"/>
    </xf>
    <xf numFmtId="165" fontId="34" fillId="5" borderId="28" xfId="6" applyNumberFormat="1" applyFont="1" applyFill="1" applyBorder="1"/>
    <xf numFmtId="165" fontId="34" fillId="0" borderId="0" xfId="6" applyNumberFormat="1" applyFont="1" applyBorder="1"/>
    <xf numFmtId="165" fontId="34" fillId="0" borderId="11" xfId="11" applyNumberFormat="1" applyFont="1" applyFill="1" applyBorder="1"/>
    <xf numFmtId="165" fontId="34" fillId="0" borderId="7" xfId="11" applyNumberFormat="1" applyFont="1" applyFill="1" applyBorder="1"/>
    <xf numFmtId="165" fontId="34" fillId="0" borderId="15" xfId="11" applyNumberFormat="1" applyFont="1" applyFill="1" applyBorder="1"/>
    <xf numFmtId="165" fontId="34" fillId="0" borderId="1" xfId="11" applyNumberFormat="1" applyFont="1" applyBorder="1"/>
    <xf numFmtId="165" fontId="34" fillId="0" borderId="2" xfId="11" applyNumberFormat="1" applyFont="1" applyBorder="1"/>
    <xf numFmtId="165" fontId="34" fillId="0" borderId="5" xfId="11" applyNumberFormat="1" applyFont="1" applyBorder="1"/>
    <xf numFmtId="165" fontId="34" fillId="0" borderId="1" xfId="11" applyNumberFormat="1" applyFont="1" applyBorder="1" applyAlignment="1">
      <alignment horizontal="right"/>
    </xf>
    <xf numFmtId="165" fontId="34" fillId="0" borderId="2" xfId="11" applyNumberFormat="1" applyFont="1" applyBorder="1" applyAlignment="1">
      <alignment horizontal="right"/>
    </xf>
    <xf numFmtId="165" fontId="34" fillId="0" borderId="31" xfId="11" applyNumberFormat="1" applyFont="1" applyBorder="1" applyAlignment="1">
      <alignment horizontal="right"/>
    </xf>
    <xf numFmtId="165" fontId="34" fillId="0" borderId="1" xfId="11" applyNumberFormat="1" applyFont="1" applyFill="1" applyBorder="1"/>
    <xf numFmtId="165" fontId="34" fillId="0" borderId="2" xfId="11" applyNumberFormat="1" applyFont="1" applyFill="1" applyBorder="1"/>
    <xf numFmtId="165" fontId="34" fillId="0" borderId="5" xfId="11" applyNumberFormat="1" applyFont="1" applyFill="1" applyBorder="1"/>
    <xf numFmtId="165" fontId="34" fillId="0" borderId="7" xfId="11" applyNumberFormat="1" applyFont="1" applyBorder="1"/>
    <xf numFmtId="165" fontId="34" fillId="0" borderId="15" xfId="11" applyNumberFormat="1" applyFont="1" applyBorder="1"/>
    <xf numFmtId="3" fontId="34" fillId="0" borderId="15" xfId="11" applyNumberFormat="1" applyFont="1" applyBorder="1" applyAlignment="1">
      <alignment horizontal="right"/>
    </xf>
    <xf numFmtId="3" fontId="34" fillId="0" borderId="7" xfId="11" applyNumberFormat="1" applyFont="1" applyBorder="1" applyAlignment="1">
      <alignment horizontal="right"/>
    </xf>
    <xf numFmtId="44" fontId="12" fillId="0" borderId="0" xfId="1" applyFont="1" applyBorder="1"/>
    <xf numFmtId="10" fontId="104" fillId="3" borderId="0" xfId="2" applyNumberFormat="1" applyFont="1" applyFill="1" applyBorder="1" applyAlignment="1">
      <alignment horizontal="centerContinuous" vertical="center"/>
    </xf>
    <xf numFmtId="10" fontId="104" fillId="3" borderId="0" xfId="40" applyNumberFormat="1" applyFont="1" applyFill="1" applyBorder="1" applyAlignment="1">
      <alignment horizontal="centerContinuous" vertical="center"/>
    </xf>
    <xf numFmtId="180" fontId="27" fillId="0" borderId="0" xfId="29" applyNumberFormat="1" applyFont="1" applyBorder="1"/>
    <xf numFmtId="5" fontId="104" fillId="3" borderId="0" xfId="1" applyNumberFormat="1" applyFont="1" applyFill="1" applyBorder="1" applyAlignment="1">
      <alignment horizontal="centerContinuous" vertical="center"/>
    </xf>
    <xf numFmtId="172" fontId="12" fillId="0" borderId="0" xfId="1" applyNumberFormat="1" applyFont="1" applyBorder="1"/>
    <xf numFmtId="0" fontId="14" fillId="0" borderId="62" xfId="29" applyBorder="1"/>
    <xf numFmtId="0" fontId="14" fillId="0" borderId="63" xfId="29" applyBorder="1"/>
    <xf numFmtId="0" fontId="105" fillId="10" borderId="64" xfId="40" applyFont="1" applyFill="1" applyBorder="1" applyAlignment="1">
      <alignment horizontal="centerContinuous" vertical="center" wrapText="1"/>
    </xf>
    <xf numFmtId="0" fontId="105" fillId="10" borderId="65" xfId="40" applyFont="1" applyFill="1" applyBorder="1" applyAlignment="1">
      <alignment horizontal="centerContinuous" vertical="center" wrapText="1"/>
    </xf>
    <xf numFmtId="0" fontId="105" fillId="10" borderId="66" xfId="40" applyFont="1" applyFill="1" applyBorder="1" applyAlignment="1">
      <alignment horizontal="centerContinuous" vertical="center" wrapText="1"/>
    </xf>
    <xf numFmtId="0" fontId="105" fillId="10" borderId="57" xfId="40" applyFont="1" applyFill="1" applyBorder="1" applyAlignment="1">
      <alignment horizontal="centerContinuous" vertical="center" wrapText="1"/>
    </xf>
    <xf numFmtId="0" fontId="105" fillId="10" borderId="46" xfId="40" applyFont="1" applyFill="1" applyBorder="1" applyAlignment="1">
      <alignment horizontal="centerContinuous" vertical="center" wrapText="1"/>
    </xf>
    <xf numFmtId="0" fontId="104" fillId="10" borderId="45" xfId="40" applyFont="1" applyFill="1" applyBorder="1" applyAlignment="1">
      <alignment horizontal="centerContinuous" vertical="center" wrapText="1"/>
    </xf>
    <xf numFmtId="0" fontId="105" fillId="6" borderId="67" xfId="40" applyFont="1" applyFill="1" applyBorder="1" applyAlignment="1">
      <alignment horizontal="centerContinuous" vertical="center"/>
    </xf>
    <xf numFmtId="0" fontId="105" fillId="6" borderId="62" xfId="40" applyFont="1" applyFill="1" applyBorder="1" applyAlignment="1">
      <alignment horizontal="centerContinuous" vertical="center"/>
    </xf>
    <xf numFmtId="0" fontId="105" fillId="6" borderId="63" xfId="40" applyFont="1" applyFill="1" applyBorder="1" applyAlignment="1">
      <alignment horizontal="centerContinuous" vertical="center"/>
    </xf>
    <xf numFmtId="0" fontId="5" fillId="0" borderId="0" xfId="82"/>
    <xf numFmtId="166" fontId="34" fillId="0" borderId="2" xfId="11" applyNumberFormat="1" applyFont="1" applyBorder="1"/>
    <xf numFmtId="164" fontId="4" fillId="0" borderId="16" xfId="6" applyNumberFormat="1" applyFont="1" applyFill="1" applyBorder="1"/>
    <xf numFmtId="169" fontId="0" fillId="0" borderId="16" xfId="2" applyNumberFormat="1" applyFont="1" applyBorder="1"/>
    <xf numFmtId="0" fontId="3" fillId="0" borderId="0" xfId="29" applyFont="1" applyBorder="1"/>
    <xf numFmtId="0" fontId="8" fillId="13" borderId="0" xfId="40" applyFont="1" applyFill="1" applyBorder="1"/>
    <xf numFmtId="0" fontId="11" fillId="13" borderId="0" xfId="40" applyFont="1" applyFill="1" applyBorder="1"/>
    <xf numFmtId="0" fontId="8" fillId="13" borderId="0" xfId="40" applyFont="1" applyFill="1" applyBorder="1" applyAlignment="1">
      <alignment vertical="center"/>
    </xf>
    <xf numFmtId="0" fontId="8" fillId="13" borderId="0" xfId="40" applyFont="1" applyFill="1"/>
    <xf numFmtId="0" fontId="104" fillId="13" borderId="0" xfId="40" applyFont="1" applyFill="1" applyBorder="1" applyAlignment="1">
      <alignment horizontal="right" vertical="center"/>
    </xf>
    <xf numFmtId="0" fontId="120" fillId="13" borderId="0" xfId="40" applyFont="1" applyFill="1" applyBorder="1" applyAlignment="1">
      <alignment horizontal="right" vertical="center"/>
    </xf>
    <xf numFmtId="0" fontId="24" fillId="13" borderId="0" xfId="40" applyFont="1" applyFill="1" applyBorder="1" applyAlignment="1">
      <alignment horizontal="right" vertical="center"/>
    </xf>
    <xf numFmtId="0" fontId="2" fillId="0" borderId="0" xfId="40" applyFont="1" applyBorder="1" applyAlignment="1">
      <alignment horizontal="left" vertical="center" wrapText="1"/>
    </xf>
    <xf numFmtId="0" fontId="7" fillId="13" borderId="0" xfId="40" applyFont="1" applyFill="1" applyBorder="1" applyAlignment="1">
      <alignment vertical="center"/>
    </xf>
    <xf numFmtId="0" fontId="7" fillId="13" borderId="0" xfId="40" applyFont="1" applyFill="1" applyBorder="1" applyAlignment="1">
      <alignment horizontal="left" vertical="center"/>
    </xf>
    <xf numFmtId="0" fontId="12" fillId="13" borderId="0" xfId="40" applyFill="1" applyBorder="1"/>
    <xf numFmtId="0" fontId="8" fillId="13" borderId="0" xfId="40" applyFont="1" applyFill="1" applyBorder="1" applyAlignment="1">
      <alignment horizontal="left" vertical="center"/>
    </xf>
    <xf numFmtId="0" fontId="7" fillId="13" borderId="0" xfId="40" applyFont="1" applyFill="1"/>
    <xf numFmtId="0" fontId="7" fillId="13" borderId="0" xfId="40" applyFont="1" applyFill="1" applyAlignment="1">
      <alignment horizontal="left" vertical="center" wrapText="1" indent="2"/>
    </xf>
    <xf numFmtId="1" fontId="34" fillId="0" borderId="2" xfId="11" applyNumberFormat="1" applyFont="1" applyBorder="1" applyAlignment="1">
      <alignment horizontal="right"/>
    </xf>
    <xf numFmtId="0" fontId="36" fillId="13" borderId="8" xfId="11" applyFont="1" applyFill="1" applyBorder="1"/>
    <xf numFmtId="0" fontId="36" fillId="0" borderId="10" xfId="29" applyFont="1" applyBorder="1" applyAlignment="1">
      <alignment wrapText="1"/>
    </xf>
    <xf numFmtId="0" fontId="36" fillId="13" borderId="10" xfId="29" applyFont="1" applyFill="1" applyBorder="1" applyAlignment="1">
      <alignment wrapText="1"/>
    </xf>
    <xf numFmtId="0" fontId="1" fillId="0" borderId="52" xfId="40" applyFont="1" applyBorder="1" applyAlignment="1">
      <alignment horizontal="center"/>
    </xf>
    <xf numFmtId="0" fontId="43" fillId="4" borderId="0" xfId="11" applyFont="1" applyFill="1" applyBorder="1" applyAlignment="1">
      <alignment horizontal="center"/>
    </xf>
    <xf numFmtId="0" fontId="14" fillId="4" borderId="2" xfId="29" applyFill="1" applyBorder="1"/>
    <xf numFmtId="0" fontId="18" fillId="4" borderId="2" xfId="11" applyFill="1" applyBorder="1"/>
    <xf numFmtId="0" fontId="14" fillId="4" borderId="31" xfId="29" applyFill="1" applyBorder="1"/>
    <xf numFmtId="0" fontId="14" fillId="4" borderId="17" xfId="29" applyFill="1" applyBorder="1"/>
    <xf numFmtId="0" fontId="36" fillId="14" borderId="23" xfId="29" applyFont="1" applyFill="1" applyBorder="1" applyAlignment="1">
      <alignment wrapText="1"/>
    </xf>
    <xf numFmtId="165" fontId="34" fillId="0" borderId="50" xfId="11" applyNumberFormat="1" applyFont="1" applyBorder="1"/>
    <xf numFmtId="165" fontId="34" fillId="0" borderId="52" xfId="11" applyNumberFormat="1" applyFont="1" applyBorder="1"/>
    <xf numFmtId="165" fontId="34" fillId="0" borderId="68" xfId="11" applyNumberFormat="1" applyFont="1" applyBorder="1"/>
    <xf numFmtId="165" fontId="34" fillId="14" borderId="68" xfId="11" applyNumberFormat="1" applyFont="1" applyFill="1" applyBorder="1"/>
    <xf numFmtId="0" fontId="21" fillId="0" borderId="35" xfId="11" applyFont="1" applyFill="1" applyBorder="1"/>
    <xf numFmtId="0" fontId="21" fillId="0" borderId="16" xfId="11" applyFont="1" applyFill="1" applyBorder="1"/>
    <xf numFmtId="0" fontId="21" fillId="0" borderId="0" xfId="11" applyFont="1" applyFill="1" applyBorder="1"/>
    <xf numFmtId="0" fontId="121" fillId="0" borderId="0" xfId="11" applyFont="1" applyFill="1" applyBorder="1"/>
    <xf numFmtId="0" fontId="21" fillId="0" borderId="35" xfId="29" applyFont="1" applyFill="1" applyBorder="1"/>
    <xf numFmtId="0" fontId="21" fillId="0" borderId="16" xfId="29" applyFont="1" applyFill="1" applyBorder="1"/>
    <xf numFmtId="0" fontId="21" fillId="0" borderId="0" xfId="29" applyFont="1" applyFill="1" applyBorder="1"/>
    <xf numFmtId="0" fontId="32" fillId="0" borderId="0" xfId="11" applyFont="1" applyFill="1" applyBorder="1"/>
    <xf numFmtId="0" fontId="32" fillId="0" borderId="0" xfId="11" quotePrefix="1" applyFont="1" applyFill="1" applyBorder="1"/>
    <xf numFmtId="0" fontId="21" fillId="0" borderId="0" xfId="11" quotePrefix="1" applyFont="1" applyFill="1" applyBorder="1"/>
    <xf numFmtId="164" fontId="21" fillId="0" borderId="0" xfId="6" applyNumberFormat="1" applyFont="1" applyFill="1" applyBorder="1"/>
    <xf numFmtId="0" fontId="21" fillId="0" borderId="35" xfId="29" applyFont="1" applyBorder="1"/>
    <xf numFmtId="0" fontId="21" fillId="0" borderId="16" xfId="29" applyFont="1" applyBorder="1"/>
    <xf numFmtId="0" fontId="21" fillId="0" borderId="0" xfId="29" applyFont="1" applyBorder="1"/>
    <xf numFmtId="0" fontId="15" fillId="4" borderId="12" xfId="11" applyFont="1" applyFill="1" applyBorder="1"/>
    <xf numFmtId="0" fontId="29" fillId="4" borderId="0" xfId="11" quotePrefix="1" applyFont="1" applyFill="1" applyBorder="1"/>
    <xf numFmtId="0" fontId="58" fillId="4" borderId="0" xfId="11" applyFont="1" applyFill="1" applyBorder="1"/>
    <xf numFmtId="0" fontId="34" fillId="4" borderId="14" xfId="11" applyFont="1" applyFill="1" applyBorder="1"/>
    <xf numFmtId="0" fontId="14" fillId="4" borderId="0" xfId="11" quotePrefix="1" applyFont="1" applyFill="1" applyBorder="1"/>
    <xf numFmtId="0" fontId="66" fillId="4" borderId="0" xfId="11" applyFont="1" applyFill="1" applyBorder="1"/>
    <xf numFmtId="166" fontId="18" fillId="4" borderId="0" xfId="11" applyNumberFormat="1" applyFill="1" applyBorder="1"/>
    <xf numFmtId="0" fontId="14" fillId="4" borderId="0" xfId="11" applyFont="1" applyFill="1" applyBorder="1"/>
    <xf numFmtId="165" fontId="34" fillId="0" borderId="51" xfId="11" applyNumberFormat="1" applyFont="1" applyFill="1" applyBorder="1"/>
    <xf numFmtId="165" fontId="34" fillId="0" borderId="61" xfId="11" applyNumberFormat="1" applyFont="1" applyFill="1" applyBorder="1"/>
    <xf numFmtId="165" fontId="62" fillId="0" borderId="69" xfId="29" applyNumberFormat="1" applyFont="1" applyFill="1" applyBorder="1"/>
    <xf numFmtId="165" fontId="60" fillId="0" borderId="61" xfId="29" applyNumberFormat="1" applyFont="1" applyFill="1" applyBorder="1"/>
    <xf numFmtId="166" fontId="121" fillId="0" borderId="5" xfId="11" applyNumberFormat="1" applyFont="1" applyFill="1" applyBorder="1"/>
    <xf numFmtId="0" fontId="121" fillId="0" borderId="47" xfId="11" applyFont="1" applyFill="1" applyBorder="1"/>
    <xf numFmtId="20" fontId="121" fillId="0" borderId="0" xfId="11" applyNumberFormat="1" applyFont="1" applyFill="1" applyBorder="1"/>
    <xf numFmtId="169" fontId="21" fillId="0" borderId="0" xfId="2" applyNumberFormat="1" applyFont="1" applyFill="1" applyBorder="1"/>
    <xf numFmtId="0" fontId="44" fillId="0" borderId="61" xfId="11" applyFont="1" applyFill="1" applyBorder="1"/>
    <xf numFmtId="0" fontId="21" fillId="0" borderId="61" xfId="11" applyFont="1" applyFill="1" applyBorder="1"/>
    <xf numFmtId="0" fontId="121" fillId="0" borderId="61" xfId="11" applyFont="1" applyFill="1" applyBorder="1"/>
    <xf numFmtId="0" fontId="21" fillId="0" borderId="61" xfId="29" applyFont="1" applyFill="1" applyBorder="1"/>
    <xf numFmtId="10" fontId="21" fillId="0" borderId="61" xfId="2" applyNumberFormat="1" applyFont="1" applyFill="1" applyBorder="1"/>
    <xf numFmtId="9" fontId="121" fillId="0" borderId="61" xfId="2" applyFont="1" applyFill="1" applyBorder="1"/>
    <xf numFmtId="169" fontId="121" fillId="0" borderId="61" xfId="11" applyNumberFormat="1" applyFont="1" applyFill="1" applyBorder="1"/>
    <xf numFmtId="0" fontId="21" fillId="0" borderId="61" xfId="11" quotePrefix="1" applyFont="1" applyFill="1" applyBorder="1"/>
    <xf numFmtId="43" fontId="21" fillId="0" borderId="61" xfId="6" applyFont="1" applyFill="1" applyBorder="1"/>
    <xf numFmtId="164" fontId="21" fillId="0" borderId="61" xfId="6" applyNumberFormat="1" applyFont="1" applyFill="1" applyBorder="1"/>
    <xf numFmtId="164" fontId="121" fillId="0" borderId="61" xfId="6" applyNumberFormat="1" applyFont="1" applyFill="1" applyBorder="1"/>
    <xf numFmtId="0" fontId="68" fillId="0" borderId="0" xfId="46" applyNumberFormat="1" applyFont="1" applyFill="1" applyBorder="1" applyAlignment="1">
      <alignment horizontal="left" vertical="top"/>
    </xf>
    <xf numFmtId="0" fontId="73" fillId="0" borderId="0" xfId="46" applyNumberFormat="1" applyFont="1" applyFill="1" applyBorder="1" applyAlignment="1">
      <alignment horizontal="right"/>
    </xf>
  </cellXfs>
  <cellStyles count="83">
    <cellStyle name="Bold" xfId="51"/>
    <cellStyle name="Bottom Line" xfId="52"/>
    <cellStyle name="Calc Currency (0)" xfId="53"/>
    <cellStyle name="cheduled" xfId="54"/>
    <cellStyle name="Column Head" xfId="55"/>
    <cellStyle name="Comma" xfId="6" builtinId="3"/>
    <cellStyle name="Comma (0)" xfId="56"/>
    <cellStyle name="Comma (1)" xfId="57"/>
    <cellStyle name="Comma (2)" xfId="58"/>
    <cellStyle name="Comma 2" xfId="4"/>
    <cellStyle name="Comma 2 2" xfId="18"/>
    <cellStyle name="Comma 2 2 2" xfId="35"/>
    <cellStyle name="Comma 2 3" xfId="33"/>
    <cellStyle name="Comma 3" xfId="8"/>
    <cellStyle name="Comma 3 2" xfId="21"/>
    <cellStyle name="Comma 3 3" xfId="50"/>
    <cellStyle name="Comma 4" xfId="14"/>
    <cellStyle name="Comma 4 2" xfId="26"/>
    <cellStyle name="Comma 5" xfId="41"/>
    <cellStyle name="Copied" xfId="59"/>
    <cellStyle name="Currency" xfId="1" builtinId="4"/>
    <cellStyle name="Currency (0)" xfId="60"/>
    <cellStyle name="Currency (1)" xfId="61"/>
    <cellStyle name="Currency (2)" xfId="62"/>
    <cellStyle name="Currency 2" xfId="5"/>
    <cellStyle name="Currency 2 2" xfId="19"/>
    <cellStyle name="Currency 2 6" xfId="37"/>
    <cellStyle name="Currency 3" xfId="9"/>
    <cellStyle name="Currency 3 2" xfId="22"/>
    <cellStyle name="Currency 3 3" xfId="48"/>
    <cellStyle name="Currency 7" xfId="38"/>
    <cellStyle name="Entered" xfId="63"/>
    <cellStyle name="Grey" xfId="64"/>
    <cellStyle name="Header1" xfId="65"/>
    <cellStyle name="Header2" xfId="66"/>
    <cellStyle name="Heading1" xfId="67"/>
    <cellStyle name="Heading2" xfId="68"/>
    <cellStyle name="Heading3" xfId="69"/>
    <cellStyle name="Hyperlink" xfId="12" builtinId="8"/>
    <cellStyle name="Hyperlink 2" xfId="47"/>
    <cellStyle name="Input [yellow]" xfId="70"/>
    <cellStyle name="Input Cells" xfId="71"/>
    <cellStyle name="Normal" xfId="0" builtinId="0"/>
    <cellStyle name="Normal - Style1" xfId="72"/>
    <cellStyle name="Normal 10" xfId="43"/>
    <cellStyle name="Normal 11" xfId="44"/>
    <cellStyle name="Normal 12" xfId="45"/>
    <cellStyle name="Normal 13" xfId="82"/>
    <cellStyle name="Normal 2" xfId="3"/>
    <cellStyle name="Normal 2 2" xfId="17"/>
    <cellStyle name="Normal 2 3" xfId="32"/>
    <cellStyle name="Normal 3" xfId="7"/>
    <cellStyle name="Normal 3 2" xfId="20"/>
    <cellStyle name="Normal 4" xfId="11"/>
    <cellStyle name="Normal 4 2" xfId="24"/>
    <cellStyle name="Normal 4 3" xfId="29"/>
    <cellStyle name="Normal 5" xfId="13"/>
    <cellStyle name="Normal 5 2" xfId="25"/>
    <cellStyle name="Normal 5 3" xfId="34"/>
    <cellStyle name="Normal 6" xfId="16"/>
    <cellStyle name="Normal 6 2" xfId="28"/>
    <cellStyle name="Normal 7" xfId="30"/>
    <cellStyle name="Normal 7 2" xfId="36"/>
    <cellStyle name="Normal 8" xfId="31"/>
    <cellStyle name="Normal 9" xfId="40"/>
    <cellStyle name="Normal_Camden Office Building 6-15-07a" xfId="46"/>
    <cellStyle name="Number (0)" xfId="73"/>
    <cellStyle name="Percent" xfId="2" builtinId="5"/>
    <cellStyle name="Percent (0)" xfId="74"/>
    <cellStyle name="Percent (1)" xfId="75"/>
    <cellStyle name="Percent (2)" xfId="76"/>
    <cellStyle name="Percent [2]" xfId="77"/>
    <cellStyle name="Percent 2" xfId="10"/>
    <cellStyle name="Percent 2 2" xfId="23"/>
    <cellStyle name="Percent 3" xfId="15"/>
    <cellStyle name="Percent 3 2" xfId="27"/>
    <cellStyle name="Percent 3 3" xfId="49"/>
    <cellStyle name="Percent 4" xfId="39"/>
    <cellStyle name="Percent 5" xfId="42"/>
    <cellStyle name="RevList" xfId="78"/>
    <cellStyle name="Right Margin" xfId="79"/>
    <cellStyle name="Subtotal" xfId="80"/>
    <cellStyle name="Top Line" xfId="81"/>
  </cellStyles>
  <dxfs count="5">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2.xml"/><Relationship Id="rId55" Type="http://schemas.openxmlformats.org/officeDocument/2006/relationships/externalLink" Target="externalLinks/externalLink7.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6.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5.xml"/><Relationship Id="rId58"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57" Type="http://schemas.openxmlformats.org/officeDocument/2006/relationships/externalLink" Target="externalLinks/externalLink9.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4.xml"/><Relationship Id="rId60"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8.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1\MLestuk\RBH%20-%20ERG%20&amp;%20HUB\DOCUME~1\Gerald\LOCALS~1\Temp\Clients2\Thompson\FtMeade\Fort%20Meade%20Final%20CDMP%20Pro%20Forma%20Revision%208-15-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S01\INV\PROPERTY\Regency%20Park\Marketing\Financial\Excel\Cash%20Flows\RPC%202.23.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S01\DOCUME~1\JEDIDI~1\LOCALS~1\Temp\Domino%20Web%20Access\Residentail%20Componen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mconte\AppData\Local\Microsoft\Windows\Temporary%20Internet%20Files\Content.Outlook\ABY8GV5V\NJEDA%20Net%20Benefits%20Model%20v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nyc021\Privshare\leasing\China%20Center\Financial%20Analysis%20-%20RPC%20Winter%202006\PROJECT%20BUDGET\Development%20Budget%20-%2006.09.02%20(Specific%20Build%20Out%20and%20Associated%20Design)(H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01\WINDOWS\Desktop\2002%20achievementsUS%20-%20AL%20Revis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S01\Port%20Authority\Financial%20Analysis\Retail%20Model\Modified%20Retail%20Model%20Alt.%20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S01\DOCUME~1\JEDIDI~1\LOCALS~1\Temp\Domino%20Web%20Access\WTC\Freedom%20Tower%20Spire\Retail%20Scenario%20%231%20A%20(12.14.04)%20PI%20Adds%20--%20Reformatted%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rcorr\AppData\Local\Microsoft\Windows\Temporary%20Internet%20Files\Content.Outlook\V26399Y6\HUB_Calculation_Template_DRAF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01\JLL\Clients\Atlantic%20Mutual\Sale%20-%20Leaseback%20Models%20-%20Sept%2029%20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S01\DOCUME~1\JEDIDI~1\LOCALS~1\Temp\Domino%20Web%20Access\CMPC%20CDMP\Army%20Northeast%20-%20Pro%20Forma%201-27%20w%20DS%20Reserv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DA.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0000"/>
      <sheetName val="Index"/>
      <sheetName val="Fin Sum"/>
      <sheetName val="Development Budget"/>
      <sheetName val="Proforma 1-10"/>
      <sheetName val="Proforma 11-50"/>
      <sheetName val="Const Phase"/>
      <sheetName val="Const Bud"/>
      <sheetName val="Drawdown"/>
      <sheetName val="Debt Analysis"/>
      <sheetName val="Amortization Schedule"/>
      <sheetName val="Invest Eqty"/>
      <sheetName val="Utility Reserve"/>
      <sheetName val="Enviromental Reserve"/>
      <sheetName val="Operating Deficit Reserve"/>
      <sheetName val="Capital Reserve"/>
      <sheetName val="Residual Reserve"/>
      <sheetName val="Property Insurance"/>
      <sheetName val="PrTranMeade"/>
      <sheetName val="Tax Analysis"/>
      <sheetName val="Annual Project Cash Flow"/>
      <sheetName val="Project Sources and Uses"/>
      <sheetName val="2002 Operating Budget"/>
      <sheetName val="Proj Sum"/>
      <sheetName val="Business Terms Analysis"/>
      <sheetName val="Final Position"/>
      <sheetName val="COLA Analysis"/>
      <sheetName val="Profroma 01-12 COLA FY02"/>
      <sheetName val="Proforma 01-12 COLA FY02-03"/>
      <sheetName val="ProForma 01-12 COLA FY02-04"/>
      <sheetName val="Proforma 01-12 w COLA Plus"/>
      <sheetName val="Const Scheme"/>
      <sheetName val="Unit Production"/>
      <sheetName val="Flow of Funds"/>
      <sheetName val="COLA PLus Reserve"/>
      <sheetName val="2nd Generation"/>
      <sheetName val="Revenue"/>
      <sheetName val="Caps Exp"/>
      <sheetName val="Depreciation"/>
      <sheetName val="Chart1"/>
      <sheetName val="Sewer &amp; Water"/>
      <sheetName val="Util Informatio"/>
      <sheetName val="GIC Ivest Data"/>
      <sheetName val="Ft. Meade"/>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ummary"/>
      <sheetName val="Yield Analysis"/>
      <sheetName val="Base Case"/>
      <sheetName val="ConsolidatedCF"/>
      <sheetName val="Assumptions"/>
      <sheetName val="Cont-Spec Income"/>
      <sheetName val="Expiration"/>
      <sheetName val="Key Import"/>
      <sheetName val="Data1"/>
      <sheetName val="Data2"/>
      <sheetName val="Amort Worksheet"/>
      <sheetName val="Module1"/>
      <sheetName val="Module3"/>
      <sheetName val="Module2"/>
    </sheetNames>
    <sheetDataSet>
      <sheetData sheetId="0"/>
      <sheetData sheetId="1"/>
      <sheetData sheetId="2" refreshError="1">
        <row r="35">
          <cell r="B35">
            <v>302221</v>
          </cell>
        </row>
        <row r="36">
          <cell r="B36">
            <v>10</v>
          </cell>
        </row>
        <row r="37">
          <cell r="B37">
            <v>0.01</v>
          </cell>
        </row>
        <row r="49">
          <cell r="B49">
            <v>0.01</v>
          </cell>
        </row>
      </sheetData>
      <sheetData sheetId="3"/>
      <sheetData sheetId="4"/>
      <sheetData sheetId="5"/>
      <sheetData sheetId="6"/>
      <sheetData sheetId="7"/>
      <sheetData sheetId="8"/>
      <sheetData sheetId="9"/>
      <sheetData sheetId="10"/>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Consolidated CF"/>
      <sheetName val="Assumptions"/>
      <sheetName val="Key Import"/>
    </sheetNames>
    <sheetDataSet>
      <sheetData sheetId="0" refreshError="1"/>
      <sheetData sheetId="1" refreshError="1"/>
      <sheetData sheetId="2" refreshError="1">
        <row r="10">
          <cell r="A10">
            <v>39082</v>
          </cell>
        </row>
      </sheetData>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ity Prop. Value data"/>
      <sheetName val="warren"/>
      <sheetName val="sussex"/>
      <sheetName val="somerset"/>
      <sheetName val="salem"/>
      <sheetName val="passaic"/>
      <sheetName val="ocean"/>
      <sheetName val="morris"/>
      <sheetName val="monmouth"/>
      <sheetName val="middlesex"/>
      <sheetName val="mercer"/>
      <sheetName val="hunterdon"/>
      <sheetName val="hudson"/>
      <sheetName val="gloucester"/>
      <sheetName val="essex"/>
      <sheetName val="union"/>
      <sheetName val="cumberland"/>
      <sheetName val="capemay"/>
      <sheetName val="camden"/>
      <sheetName val="burlington"/>
      <sheetName val="bergen"/>
      <sheetName val="atlantic"/>
      <sheetName val="Opening page"/>
      <sheetName val="Calculation&amp;Summary"/>
      <sheetName val="Cost Analysis2"/>
      <sheetName val="Clasifications"/>
      <sheetName val="Summary Tables and Calcs"/>
      <sheetName val="spec.mod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39">
          <cell r="BI39" t="str">
            <v>Atlantic</v>
          </cell>
        </row>
        <row r="40">
          <cell r="BI40" t="str">
            <v>Bergen</v>
          </cell>
        </row>
        <row r="41">
          <cell r="BI41" t="str">
            <v>Burlington</v>
          </cell>
        </row>
        <row r="42">
          <cell r="BI42" t="str">
            <v>Camden</v>
          </cell>
        </row>
        <row r="43">
          <cell r="BI43" t="str">
            <v>Cape May</v>
          </cell>
        </row>
        <row r="44">
          <cell r="BI44" t="str">
            <v>Cumberland</v>
          </cell>
        </row>
        <row r="45">
          <cell r="BI45" t="str">
            <v>Essex</v>
          </cell>
        </row>
        <row r="46">
          <cell r="BI46" t="str">
            <v>Gloucester</v>
          </cell>
        </row>
        <row r="47">
          <cell r="BI47" t="str">
            <v>Hudson</v>
          </cell>
        </row>
        <row r="48">
          <cell r="BI48" t="str">
            <v>Hunterdon</v>
          </cell>
        </row>
        <row r="49">
          <cell r="BI49" t="str">
            <v>Mercer</v>
          </cell>
        </row>
        <row r="50">
          <cell r="BI50" t="str">
            <v>Middlesex</v>
          </cell>
        </row>
        <row r="51">
          <cell r="BI51" t="str">
            <v>Monmouth</v>
          </cell>
        </row>
        <row r="52">
          <cell r="BI52" t="str">
            <v>Morris</v>
          </cell>
        </row>
        <row r="53">
          <cell r="BI53" t="str">
            <v>Ocean</v>
          </cell>
        </row>
        <row r="54">
          <cell r="BI54" t="str">
            <v>Passaic</v>
          </cell>
        </row>
        <row r="55">
          <cell r="BI55" t="str">
            <v>Salem</v>
          </cell>
        </row>
        <row r="56">
          <cell r="BI56" t="str">
            <v>Somerset</v>
          </cell>
        </row>
        <row r="57">
          <cell r="BI57" t="str">
            <v>Sussex</v>
          </cell>
        </row>
        <row r="58">
          <cell r="BI58" t="str">
            <v>Union</v>
          </cell>
        </row>
        <row r="59">
          <cell r="BI59" t="str">
            <v>Warren</v>
          </cell>
        </row>
      </sheetData>
      <sheetData sheetId="24"/>
      <sheetData sheetId="25"/>
      <sheetData sheetId="26"/>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udget"/>
      <sheetName val="Area Budget Final"/>
      <sheetName val="Design Cost Analysis"/>
      <sheetName val="Blocking and Stacking Diagram"/>
      <sheetName val="term sheet criteria"/>
      <sheetName val="Building Lobby"/>
      <sheetName val="China Club"/>
      <sheetName val="CC Reception"/>
      <sheetName val="Travel Center"/>
      <sheetName val="Conference Center"/>
      <sheetName val="Serviced Office"/>
      <sheetName val="CC Admin"/>
      <sheetName val="Incubator Space 1"/>
      <sheetName val="Incubator Space 2"/>
      <sheetName val="Other Indirect Soft Costs"/>
      <sheetName val="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Investment Sales"/>
      <sheetName val="Sales Summary"/>
      <sheetName val="Advisory"/>
      <sheetName val="Advisory Summary"/>
      <sheetName val="#REF"/>
      <sheetName val="input_assumptions"/>
      <sheetName val="COVER_PAGE"/>
      <sheetName val="Historicals"/>
      <sheetName val="2002 achievementsUS - AL Revise"/>
      <sheetName val="2002"/>
      <sheetName val="Summary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ssumptions"/>
      <sheetName val="Lease Valuation"/>
      <sheetName val="Square Footage"/>
      <sheetName val="Oct 23 Totals"/>
      <sheetName val="Rents"/>
      <sheetName val="PercentRent"/>
      <sheetName val="Capital Costs"/>
      <sheetName val="Financing"/>
      <sheetName val="Amort Table"/>
      <sheetName val="Initial Rent"/>
      <sheetName val="Rent Roll Selections"/>
      <sheetName val="WorkTables"/>
      <sheetName val="Alt B - Retail"/>
      <sheetName val="Site OPEX"/>
      <sheetName val="Top 10 Occupancy Costs"/>
      <sheetName val="Sales"/>
      <sheetName val="2000 Financial Assumptions"/>
      <sheetName val="Dec 15 Adjusted"/>
      <sheetName val="CAM"/>
      <sheetName val="CAM Junk"/>
      <sheetName val="Use Parameters Junk"/>
      <sheetName val="GLA Old"/>
    </sheetNames>
    <sheetDataSet>
      <sheetData sheetId="0" refreshError="1"/>
      <sheetData sheetId="1"/>
      <sheetData sheetId="2"/>
      <sheetData sheetId="3" refreshError="1"/>
      <sheetData sheetId="4" refreshError="1">
        <row r="4">
          <cell r="C4">
            <v>0.75</v>
          </cell>
        </row>
        <row r="5">
          <cell r="C5">
            <v>4</v>
          </cell>
        </row>
      </sheetData>
      <sheetData sheetId="5" refreshError="1"/>
      <sheetData sheetId="6" refreshError="1"/>
      <sheetData sheetId="7"/>
      <sheetData sheetId="8" refreshError="1">
        <row r="14">
          <cell r="C14">
            <v>1</v>
          </cell>
          <cell r="D14">
            <v>2</v>
          </cell>
          <cell r="E14">
            <v>3</v>
          </cell>
          <cell r="F14">
            <v>4</v>
          </cell>
          <cell r="G14">
            <v>5</v>
          </cell>
          <cell r="H14">
            <v>6</v>
          </cell>
          <cell r="I14">
            <v>7</v>
          </cell>
          <cell r="J14">
            <v>8</v>
          </cell>
          <cell r="K14">
            <v>9</v>
          </cell>
          <cell r="L14">
            <v>10</v>
          </cell>
          <cell r="M14">
            <v>11</v>
          </cell>
          <cell r="N14">
            <v>12</v>
          </cell>
          <cell r="O14">
            <v>13</v>
          </cell>
          <cell r="P14">
            <v>14</v>
          </cell>
          <cell r="Q14">
            <v>15</v>
          </cell>
          <cell r="R14">
            <v>16</v>
          </cell>
          <cell r="S14">
            <v>17</v>
          </cell>
          <cell r="T14">
            <v>18</v>
          </cell>
          <cell r="U14">
            <v>19</v>
          </cell>
          <cell r="V14">
            <v>20</v>
          </cell>
          <cell r="W14">
            <v>21</v>
          </cell>
          <cell r="X14">
            <v>22</v>
          </cell>
          <cell r="Y14">
            <v>23</v>
          </cell>
          <cell r="Z14">
            <v>24</v>
          </cell>
          <cell r="AA14">
            <v>25</v>
          </cell>
          <cell r="AB14">
            <v>26</v>
          </cell>
          <cell r="AC14">
            <v>27</v>
          </cell>
          <cell r="AD14">
            <v>28</v>
          </cell>
          <cell r="AE14">
            <v>29</v>
          </cell>
          <cell r="AF14">
            <v>30</v>
          </cell>
          <cell r="AG14">
            <v>31</v>
          </cell>
          <cell r="AH14">
            <v>32</v>
          </cell>
          <cell r="AI14">
            <v>33</v>
          </cell>
          <cell r="AJ14">
            <v>34</v>
          </cell>
          <cell r="AK14">
            <v>35</v>
          </cell>
          <cell r="AL14">
            <v>36</v>
          </cell>
          <cell r="AM14">
            <v>37</v>
          </cell>
          <cell r="AN14">
            <v>38</v>
          </cell>
          <cell r="AO14">
            <v>39</v>
          </cell>
          <cell r="AP14">
            <v>40</v>
          </cell>
          <cell r="AQ14">
            <v>41</v>
          </cell>
          <cell r="AR14">
            <v>42</v>
          </cell>
          <cell r="AS14">
            <v>43</v>
          </cell>
          <cell r="AT14">
            <v>44</v>
          </cell>
          <cell r="AU14">
            <v>45</v>
          </cell>
          <cell r="AV14">
            <v>46</v>
          </cell>
          <cell r="AW14">
            <v>47</v>
          </cell>
          <cell r="AX14">
            <v>48</v>
          </cell>
          <cell r="AY14">
            <v>49</v>
          </cell>
          <cell r="AZ14">
            <v>50</v>
          </cell>
          <cell r="BA14">
            <v>51</v>
          </cell>
          <cell r="BB14">
            <v>52</v>
          </cell>
          <cell r="BC14">
            <v>53</v>
          </cell>
          <cell r="BD14">
            <v>54</v>
          </cell>
          <cell r="BE14">
            <v>55</v>
          </cell>
          <cell r="BF14">
            <v>56</v>
          </cell>
          <cell r="BG14">
            <v>57</v>
          </cell>
          <cell r="BH14">
            <v>58</v>
          </cell>
          <cell r="BI14">
            <v>59</v>
          </cell>
          <cell r="BJ14">
            <v>60</v>
          </cell>
        </row>
        <row r="15">
          <cell r="C15">
            <v>2006</v>
          </cell>
          <cell r="D15">
            <v>2007</v>
          </cell>
          <cell r="E15">
            <v>2008</v>
          </cell>
          <cell r="F15">
            <v>2009</v>
          </cell>
          <cell r="G15">
            <v>2010</v>
          </cell>
          <cell r="H15">
            <v>2011</v>
          </cell>
          <cell r="I15">
            <v>2012</v>
          </cell>
          <cell r="J15">
            <v>2013</v>
          </cell>
          <cell r="K15">
            <v>2014</v>
          </cell>
          <cell r="L15">
            <v>2015</v>
          </cell>
          <cell r="M15">
            <v>2016</v>
          </cell>
          <cell r="N15">
            <v>2017</v>
          </cell>
          <cell r="O15">
            <v>2018</v>
          </cell>
          <cell r="P15">
            <v>2019</v>
          </cell>
          <cell r="Q15">
            <v>2020</v>
          </cell>
          <cell r="R15">
            <v>2021</v>
          </cell>
          <cell r="S15">
            <v>2022</v>
          </cell>
          <cell r="T15">
            <v>2023</v>
          </cell>
          <cell r="U15">
            <v>2024</v>
          </cell>
          <cell r="V15">
            <v>2025</v>
          </cell>
          <cell r="W15">
            <v>2026</v>
          </cell>
          <cell r="X15">
            <v>2027</v>
          </cell>
          <cell r="Y15">
            <v>2028</v>
          </cell>
          <cell r="Z15">
            <v>2029</v>
          </cell>
          <cell r="AA15">
            <v>2030</v>
          </cell>
          <cell r="AB15">
            <v>2031</v>
          </cell>
          <cell r="AC15">
            <v>2032</v>
          </cell>
          <cell r="AD15">
            <v>2033</v>
          </cell>
          <cell r="AE15">
            <v>2034</v>
          </cell>
          <cell r="AF15">
            <v>2035</v>
          </cell>
          <cell r="AG15">
            <v>2036</v>
          </cell>
          <cell r="AH15">
            <v>2037</v>
          </cell>
          <cell r="AI15">
            <v>2038</v>
          </cell>
          <cell r="AJ15">
            <v>2039</v>
          </cell>
          <cell r="AK15">
            <v>2040</v>
          </cell>
          <cell r="AL15">
            <v>2041</v>
          </cell>
          <cell r="AM15">
            <v>2042</v>
          </cell>
          <cell r="AN15">
            <v>2043</v>
          </cell>
          <cell r="AO15">
            <v>2044</v>
          </cell>
          <cell r="AP15">
            <v>2045</v>
          </cell>
          <cell r="AQ15">
            <v>2046</v>
          </cell>
          <cell r="AR15">
            <v>2047</v>
          </cell>
          <cell r="AS15">
            <v>2048</v>
          </cell>
          <cell r="AT15">
            <v>2049</v>
          </cell>
          <cell r="AU15">
            <v>2050</v>
          </cell>
          <cell r="AV15">
            <v>2051</v>
          </cell>
          <cell r="AW15">
            <v>2052</v>
          </cell>
          <cell r="AX15">
            <v>2053</v>
          </cell>
          <cell r="AY15">
            <v>2054</v>
          </cell>
          <cell r="AZ15">
            <v>2055</v>
          </cell>
          <cell r="BA15">
            <v>2056</v>
          </cell>
          <cell r="BB15">
            <v>2057</v>
          </cell>
          <cell r="BC15">
            <v>2058</v>
          </cell>
          <cell r="BD15">
            <v>2059</v>
          </cell>
          <cell r="BE15">
            <v>2060</v>
          </cell>
          <cell r="BF15">
            <v>2061</v>
          </cell>
          <cell r="BG15">
            <v>2062</v>
          </cell>
          <cell r="BH15">
            <v>2063</v>
          </cell>
          <cell r="BI15">
            <v>2064</v>
          </cell>
          <cell r="BJ15">
            <v>2065</v>
          </cell>
        </row>
        <row r="16">
          <cell r="C16">
            <v>61177422.456985891</v>
          </cell>
          <cell r="D16">
            <v>61177422.456985891</v>
          </cell>
          <cell r="E16">
            <v>61177422.456985891</v>
          </cell>
          <cell r="F16">
            <v>61177422.456985891</v>
          </cell>
          <cell r="G16">
            <v>61177422.456985891</v>
          </cell>
          <cell r="H16">
            <v>61177422.456985891</v>
          </cell>
          <cell r="I16">
            <v>61177422.456985891</v>
          </cell>
          <cell r="J16">
            <v>61177422.456985891</v>
          </cell>
          <cell r="K16">
            <v>61177422.456985891</v>
          </cell>
          <cell r="L16">
            <v>61177422.456985891</v>
          </cell>
          <cell r="M16">
            <v>61177422.456985891</v>
          </cell>
          <cell r="N16">
            <v>61177422.456985891</v>
          </cell>
          <cell r="O16">
            <v>61177422.456985891</v>
          </cell>
          <cell r="P16">
            <v>61177422.456985891</v>
          </cell>
          <cell r="Q16">
            <v>61177422.456985891</v>
          </cell>
          <cell r="R16">
            <v>61177422.456985891</v>
          </cell>
          <cell r="S16">
            <v>61177422.456985891</v>
          </cell>
          <cell r="T16">
            <v>61177422.456985891</v>
          </cell>
          <cell r="U16">
            <v>61177422.456985891</v>
          </cell>
          <cell r="V16">
            <v>61177422.456985891</v>
          </cell>
          <cell r="W16">
            <v>61177422.456985891</v>
          </cell>
          <cell r="X16">
            <v>61177422.456985891</v>
          </cell>
          <cell r="Y16">
            <v>61177422.456985891</v>
          </cell>
          <cell r="Z16">
            <v>61177422.456985891</v>
          </cell>
          <cell r="AA16">
            <v>61177422.456985891</v>
          </cell>
          <cell r="AB16">
            <v>61177422.456985891</v>
          </cell>
          <cell r="AC16">
            <v>61177422.456985891</v>
          </cell>
          <cell r="AD16">
            <v>61177422.456985891</v>
          </cell>
          <cell r="AE16">
            <v>61177422.456985891</v>
          </cell>
          <cell r="AF16">
            <v>61177422.456985891</v>
          </cell>
          <cell r="AG16">
            <v>1.8272548913955688E-6</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row>
        <row r="17">
          <cell r="C17">
            <v>4611011.8359682932</v>
          </cell>
          <cell r="D17">
            <v>5026002.9012054354</v>
          </cell>
          <cell r="E17">
            <v>5478343.1623139232</v>
          </cell>
          <cell r="F17">
            <v>5971394.0469221771</v>
          </cell>
          <cell r="G17">
            <v>6508819.5111451745</v>
          </cell>
          <cell r="H17">
            <v>7094613.267148234</v>
          </cell>
          <cell r="I17">
            <v>7733128.4611915797</v>
          </cell>
          <cell r="J17">
            <v>8429110.0226988196</v>
          </cell>
          <cell r="K17">
            <v>9187729.9247417077</v>
          </cell>
          <cell r="L17">
            <v>10014625.617968462</v>
          </cell>
          <cell r="M17">
            <v>10915941.923585624</v>
          </cell>
          <cell r="N17">
            <v>11898376.696708329</v>
          </cell>
          <cell r="O17">
            <v>12969230.599412084</v>
          </cell>
          <cell r="P17">
            <v>14136461.35335917</v>
          </cell>
          <cell r="Q17">
            <v>15408742.875161491</v>
          </cell>
          <cell r="R17">
            <v>16795529.733926028</v>
          </cell>
          <cell r="S17">
            <v>18307127.409979373</v>
          </cell>
          <cell r="T17">
            <v>19954768.876877509</v>
          </cell>
          <cell r="U17">
            <v>21750698.075796485</v>
          </cell>
          <cell r="V17">
            <v>23708260.90261817</v>
          </cell>
          <cell r="W17">
            <v>25842004.383853801</v>
          </cell>
          <cell r="X17">
            <v>28167784.778400645</v>
          </cell>
          <cell r="Y17">
            <v>30702885.408456706</v>
          </cell>
          <cell r="Z17">
            <v>33466145.095217805</v>
          </cell>
          <cell r="AA17">
            <v>36478098.153787404</v>
          </cell>
          <cell r="AB17">
            <v>39761126.987628281</v>
          </cell>
          <cell r="AC17">
            <v>43339628.416514821</v>
          </cell>
          <cell r="AD17">
            <v>47240194.974001154</v>
          </cell>
          <cell r="AE17">
            <v>51491812.521661259</v>
          </cell>
          <cell r="AF17">
            <v>56126075.648610771</v>
          </cell>
          <cell r="AG17">
            <v>1.6763806343078613E-6</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row>
        <row r="18">
          <cell r="C18">
            <v>56566410.621017598</v>
          </cell>
          <cell r="D18">
            <v>56151419.555780455</v>
          </cell>
          <cell r="E18">
            <v>55699079.294671968</v>
          </cell>
          <cell r="F18">
            <v>55206028.410063714</v>
          </cell>
          <cell r="G18">
            <v>54668602.945840716</v>
          </cell>
          <cell r="H18">
            <v>54082809.189837657</v>
          </cell>
          <cell r="I18">
            <v>53444293.995794311</v>
          </cell>
          <cell r="J18">
            <v>52748312.434287071</v>
          </cell>
          <cell r="K18">
            <v>51989692.532244183</v>
          </cell>
          <cell r="L18">
            <v>51162796.839017428</v>
          </cell>
          <cell r="M18">
            <v>50261480.533400267</v>
          </cell>
          <cell r="N18">
            <v>49279045.760277562</v>
          </cell>
          <cell r="O18">
            <v>48208191.857573807</v>
          </cell>
          <cell r="P18">
            <v>47040961.103626721</v>
          </cell>
          <cell r="Q18">
            <v>45768679.5818244</v>
          </cell>
          <cell r="R18">
            <v>44381892.723059863</v>
          </cell>
          <cell r="S18">
            <v>42870295.047006518</v>
          </cell>
          <cell r="T18">
            <v>41222653.580108382</v>
          </cell>
          <cell r="U18">
            <v>39426724.381189406</v>
          </cell>
          <cell r="V18">
            <v>37469161.554367721</v>
          </cell>
          <cell r="W18">
            <v>35335418.07313209</v>
          </cell>
          <cell r="X18">
            <v>33009637.678585246</v>
          </cell>
          <cell r="Y18">
            <v>30474537.048529185</v>
          </cell>
          <cell r="Z18">
            <v>27711277.361768086</v>
          </cell>
          <cell r="AA18">
            <v>24699324.303198483</v>
          </cell>
          <cell r="AB18">
            <v>21416295.469357613</v>
          </cell>
          <cell r="AC18">
            <v>17837794.04047107</v>
          </cell>
          <cell r="AD18">
            <v>13937227.482984737</v>
          </cell>
          <cell r="AE18">
            <v>9685609.9353246335</v>
          </cell>
          <cell r="AF18">
            <v>5051346.8083751202</v>
          </cell>
          <cell r="AG18">
            <v>1.5087425708770752E-7</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row>
        <row r="19">
          <cell r="C19">
            <v>623904661.73089397</v>
          </cell>
          <cell r="D19">
            <v>618878658.82968855</v>
          </cell>
          <cell r="E19">
            <v>613400315.66737461</v>
          </cell>
          <cell r="F19">
            <v>607428921.6204524</v>
          </cell>
          <cell r="G19">
            <v>600920102.10930729</v>
          </cell>
          <cell r="H19">
            <v>593825488.84215903</v>
          </cell>
          <cell r="I19">
            <v>586092360.3809675</v>
          </cell>
          <cell r="J19">
            <v>577663250.35826874</v>
          </cell>
          <cell r="K19">
            <v>568475520.43352699</v>
          </cell>
          <cell r="L19">
            <v>558460894.81555855</v>
          </cell>
          <cell r="M19">
            <v>547544952.8919729</v>
          </cell>
          <cell r="N19">
            <v>535646576.19526458</v>
          </cell>
          <cell r="O19">
            <v>522677345.59585249</v>
          </cell>
          <cell r="P19">
            <v>508540884.24249333</v>
          </cell>
          <cell r="Q19">
            <v>493132141.36733186</v>
          </cell>
          <cell r="R19">
            <v>476336611.6334058</v>
          </cell>
          <cell r="S19">
            <v>458029484.22342646</v>
          </cell>
          <cell r="T19">
            <v>438074715.34654897</v>
          </cell>
          <cell r="U19">
            <v>416324017.27075249</v>
          </cell>
          <cell r="V19">
            <v>392615756.36813432</v>
          </cell>
          <cell r="W19">
            <v>366773751.98428053</v>
          </cell>
          <cell r="X19">
            <v>338605967.20587987</v>
          </cell>
          <cell r="Y19">
            <v>307903081.79742318</v>
          </cell>
          <cell r="Z19">
            <v>274436936.70220536</v>
          </cell>
          <cell r="AA19">
            <v>237958838.54841796</v>
          </cell>
          <cell r="AB19">
            <v>198197711.56078967</v>
          </cell>
          <cell r="AC19">
            <v>154858083.14427486</v>
          </cell>
          <cell r="AD19">
            <v>107617888.17027371</v>
          </cell>
          <cell r="AE19">
            <v>56126075.648612447</v>
          </cell>
          <cell r="AF19">
            <v>1.6763806343078613E-6</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row>
      </sheetData>
      <sheetData sheetId="9" refreshError="1"/>
      <sheetData sheetId="10" refreshError="1"/>
      <sheetData sheetId="11" refreshError="1">
        <row r="4">
          <cell r="AB4" t="str">
            <v>Apply % Discount</v>
          </cell>
        </row>
      </sheetData>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Questions"/>
      <sheetName val="Rent Comparison"/>
      <sheetName val="Overview"/>
      <sheetName val="Valuation Summary"/>
      <sheetName val="Summary"/>
      <sheetName val="Key Assump"/>
      <sheetName val="Insurance"/>
      <sheetName val="Inputs"/>
      <sheetName val="Output Summary"/>
      <sheetName val="Lease Valuation"/>
      <sheetName val="D_GLA_Sum"/>
      <sheetName val="Scheme_D_Rents"/>
      <sheetName val="Other_Inc_Exp"/>
      <sheetName val="VacancyAllowance"/>
      <sheetName val="GLA Yrly"/>
      <sheetName val="WorkTables"/>
      <sheetName val="Leaseup_Schdl"/>
      <sheetName val="E_GLA_Sum"/>
      <sheetName val="May_04_Scnrio_Ttls"/>
      <sheetName val="Rent_Schdl"/>
      <sheetName val="Scheme_E_Rents"/>
      <sheetName val="Time Sched"/>
      <sheetName val="Ground Rent"/>
      <sheetName val=" RE tax(2)"/>
      <sheetName val="RE tax"/>
      <sheetName val="PilotSiteOpex"/>
      <sheetName val="Capital Costs"/>
      <sheetName val="Financing"/>
      <sheetName val="Realloc infra"/>
      <sheetName val="Realloc infra (2)"/>
      <sheetName val="Leaseup_Schdl_by_Level"/>
      <sheetName val="PCP Sched"/>
      <sheetName val="Leaseup_End_Yr"/>
      <sheetName val="PercentRent"/>
      <sheetName val="Amort Table"/>
      <sheetName val="Additional Info -&gt;"/>
      <sheetName val="Rent Roll Selections"/>
      <sheetName val="Top 10 Occupancy Costs"/>
      <sheetName val="Sales"/>
      <sheetName val="2000 Financial Assumptions"/>
      <sheetName val="Dec 15 Adjusted"/>
      <sheetName val="Scenario_Values"/>
      <sheetName val="Charts"/>
      <sheetName val="Chart_Data"/>
      <sheetName val="GRA_Scenarios"/>
      <sheetName val="Unused - Rent"/>
      <sheetName val="CAM"/>
      <sheetName val="CAM Junk"/>
      <sheetName val="Use Parameters Junk"/>
      <sheetName val="GLA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ost Analysis2"/>
      <sheetName val="Clasifications"/>
    </sheetNames>
    <sheetDataSet>
      <sheetData sheetId="0"/>
      <sheetData sheetId="1">
        <row r="2">
          <cell r="A2" t="str">
            <v>Capital</v>
          </cell>
          <cell r="B2" t="str">
            <v>Site Preparation</v>
          </cell>
          <cell r="C2" t="str">
            <v>Financing</v>
          </cell>
          <cell r="D2" t="str">
            <v>No Credit</v>
          </cell>
        </row>
        <row r="3">
          <cell r="A3" t="str">
            <v>Soft</v>
          </cell>
          <cell r="B3" t="str">
            <v>Construction - Other</v>
          </cell>
          <cell r="C3" t="str">
            <v>Design</v>
          </cell>
        </row>
        <row r="4">
          <cell r="A4" t="str">
            <v>Unqualified</v>
          </cell>
          <cell r="B4" t="str">
            <v>Repair</v>
          </cell>
          <cell r="C4" t="str">
            <v>Engineering</v>
          </cell>
        </row>
        <row r="5">
          <cell r="B5" t="str">
            <v>Renovation</v>
          </cell>
          <cell r="C5" t="str">
            <v>Legal</v>
          </cell>
        </row>
        <row r="6">
          <cell r="B6" t="str">
            <v>Improvement - General</v>
          </cell>
          <cell r="C6" t="str">
            <v>Real Estate Commissions</v>
          </cell>
        </row>
        <row r="7">
          <cell r="B7" t="str">
            <v>Equippping</v>
          </cell>
          <cell r="C7" t="str">
            <v>Furniture</v>
          </cell>
        </row>
        <row r="8">
          <cell r="B8" t="str">
            <v>Furnishing - Building</v>
          </cell>
          <cell r="C8" t="str">
            <v>Office Equipment (&lt; 5 yr. Depr.)</v>
          </cell>
        </row>
        <row r="9">
          <cell r="B9" t="str">
            <v>Furnishing - Structure</v>
          </cell>
        </row>
        <row r="10">
          <cell r="B10" t="str">
            <v>Furnishing - Facility</v>
          </cell>
        </row>
        <row r="11">
          <cell r="B11" t="str">
            <v>Improvement - Real Property</v>
          </cell>
        </row>
        <row r="12">
          <cell r="B12" t="str">
            <v>Furnishing - Installation</v>
          </cell>
        </row>
        <row r="13">
          <cell r="B13" t="str">
            <v>Machinery</v>
          </cell>
        </row>
        <row r="14">
          <cell r="B14" t="str">
            <v>Equipment - Business Oper.</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ummary"/>
      <sheetName val="Assumptions"/>
      <sheetName val="Analysis"/>
      <sheetName val="Amort. Table - Current Loan"/>
      <sheetName val="Amort. Table - Refi Loan"/>
      <sheetName val="GAAP Comparison - Pre-Gain"/>
      <sheetName val="GAAP Comparison - Total (Gain)"/>
      <sheetName val="Graph - NPV (Pre-tax)"/>
      <sheetName val="Graph - NPV (After-tax)"/>
      <sheetName val="Graph - GAAP (Before Gain)"/>
      <sheetName val="Graph - GAAP (After Gain)"/>
      <sheetName val="Residual Value"/>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Cover"/>
      <sheetName val="A-ExecSum"/>
      <sheetName val="Index"/>
      <sheetName val="Sheet1"/>
      <sheetName val="B-Assump"/>
      <sheetName val="Charts&amp;Graphs"/>
      <sheetName val="C-Sensitivity"/>
      <sheetName val="C-Metrics"/>
      <sheetName val="Sheet2"/>
      <sheetName val="E-BAH"/>
      <sheetName val="Lender PF"/>
      <sheetName val="Lender S&amp;U"/>
      <sheetName val="BAH With Phasing"/>
      <sheetName val="H-SourceComb"/>
      <sheetName val="RevExp Comb"/>
      <sheetName val="D1-RevExpCar"/>
      <sheetName val="F1-ExpCar"/>
      <sheetName val="Sheet3"/>
      <sheetName val="DS Reserve"/>
      <sheetName val="G1-DevBudCar"/>
      <sheetName val="J1-PhasingCar"/>
      <sheetName val="D2-RevExpMon"/>
      <sheetName val="F2-ExpMon"/>
      <sheetName val="G2-DevBudMon"/>
      <sheetName val="J2-PhasingMon"/>
      <sheetName val="D3-RevExpPic"/>
      <sheetName val="F3-ExpPic"/>
      <sheetName val="G3-DevBudPic"/>
      <sheetName val="J3-PhasingPic"/>
      <sheetName val="I-CapReinv"/>
      <sheetName val="I1-ChristmasTree"/>
      <sheetName val="K-Equity"/>
      <sheetName val="Development Staffing"/>
      <sheetName val="Y-TransBudget"/>
      <sheetName val="Y1-IDP Staffing"/>
      <sheetName val="Y2-TransBudget-Army Format"/>
      <sheetName val="Z-Ref"/>
      <sheetName val="BR Edi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RPT-Spec"/>
      <sheetName val="RPT_IDA"/>
      <sheetName val="Rental_Spec"/>
      <sheetName val="Rental_IDA"/>
      <sheetName val="Budget"/>
      <sheetName val="Assumptions"/>
      <sheetName val="Amort Sched"/>
      <sheetName val="Amort Lookup"/>
    </sheetNames>
    <sheetDataSet>
      <sheetData sheetId="0"/>
      <sheetData sheetId="1"/>
      <sheetData sheetId="2"/>
      <sheetData sheetId="3"/>
      <sheetData sheetId="4"/>
      <sheetData sheetId="5" refreshError="1">
        <row r="29">
          <cell r="H29">
            <v>0.13</v>
          </cell>
        </row>
        <row r="32">
          <cell r="H32">
            <v>12</v>
          </cell>
        </row>
      </sheetData>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8" Type="http://schemas.openxmlformats.org/officeDocument/2006/relationships/hyperlink" Target="http://newjersey.hometownlocator.com/NJ/Gloucester/" TargetMode="External"/><Relationship Id="rId13" Type="http://schemas.openxmlformats.org/officeDocument/2006/relationships/hyperlink" Target="http://newjersey.hometownlocator.com/NJ/Monmouth/" TargetMode="External"/><Relationship Id="rId18" Type="http://schemas.openxmlformats.org/officeDocument/2006/relationships/hyperlink" Target="http://newjersey.hometownlocator.com/NJ/Somerset/" TargetMode="External"/><Relationship Id="rId3" Type="http://schemas.openxmlformats.org/officeDocument/2006/relationships/hyperlink" Target="http://newjersey.hometownlocator.com/NJ/Burlington/" TargetMode="External"/><Relationship Id="rId21" Type="http://schemas.openxmlformats.org/officeDocument/2006/relationships/hyperlink" Target="http://newjersey.hometownlocator.com/NJ/Warren/" TargetMode="External"/><Relationship Id="rId7" Type="http://schemas.openxmlformats.org/officeDocument/2006/relationships/hyperlink" Target="http://newjersey.hometownlocator.com/NJ/Essex/" TargetMode="External"/><Relationship Id="rId12" Type="http://schemas.openxmlformats.org/officeDocument/2006/relationships/hyperlink" Target="http://newjersey.hometownlocator.com/NJ/Middlesex/" TargetMode="External"/><Relationship Id="rId17" Type="http://schemas.openxmlformats.org/officeDocument/2006/relationships/hyperlink" Target="http://newjersey.hometownlocator.com/NJ/Salem/" TargetMode="External"/><Relationship Id="rId2" Type="http://schemas.openxmlformats.org/officeDocument/2006/relationships/hyperlink" Target="http://newjersey.hometownlocator.com/NJ/Bergen/" TargetMode="External"/><Relationship Id="rId16" Type="http://schemas.openxmlformats.org/officeDocument/2006/relationships/hyperlink" Target="http://newjersey.hometownlocator.com/NJ/Passaic/" TargetMode="External"/><Relationship Id="rId20" Type="http://schemas.openxmlformats.org/officeDocument/2006/relationships/hyperlink" Target="http://newjersey.hometownlocator.com/NJ/Union/" TargetMode="External"/><Relationship Id="rId1" Type="http://schemas.openxmlformats.org/officeDocument/2006/relationships/hyperlink" Target="http://newjersey.hometownlocator.com/NJ/Atlantic/" TargetMode="External"/><Relationship Id="rId6" Type="http://schemas.openxmlformats.org/officeDocument/2006/relationships/hyperlink" Target="http://newjersey.hometownlocator.com/NJ/Cumberland/" TargetMode="External"/><Relationship Id="rId11" Type="http://schemas.openxmlformats.org/officeDocument/2006/relationships/hyperlink" Target="http://newjersey.hometownlocator.com/NJ/Mercer/" TargetMode="External"/><Relationship Id="rId24" Type="http://schemas.openxmlformats.org/officeDocument/2006/relationships/comments" Target="../comments2.xml"/><Relationship Id="rId5" Type="http://schemas.openxmlformats.org/officeDocument/2006/relationships/hyperlink" Target="http://newjersey.hometownlocator.com/NJ/Cape-May/" TargetMode="External"/><Relationship Id="rId15" Type="http://schemas.openxmlformats.org/officeDocument/2006/relationships/hyperlink" Target="http://newjersey.hometownlocator.com/NJ/Ocean/" TargetMode="External"/><Relationship Id="rId23" Type="http://schemas.openxmlformats.org/officeDocument/2006/relationships/vmlDrawing" Target="../drawings/vmlDrawing2.vml"/><Relationship Id="rId10" Type="http://schemas.openxmlformats.org/officeDocument/2006/relationships/hyperlink" Target="http://newjersey.hometownlocator.com/NJ/Hunterdon/" TargetMode="External"/><Relationship Id="rId19" Type="http://schemas.openxmlformats.org/officeDocument/2006/relationships/hyperlink" Target="http://newjersey.hometownlocator.com/NJ/Sussex/" TargetMode="External"/><Relationship Id="rId4" Type="http://schemas.openxmlformats.org/officeDocument/2006/relationships/hyperlink" Target="http://newjersey.hometownlocator.com/NJ/Camden/" TargetMode="External"/><Relationship Id="rId9" Type="http://schemas.openxmlformats.org/officeDocument/2006/relationships/hyperlink" Target="http://newjersey.hometownlocator.com/NJ/Hudson/" TargetMode="External"/><Relationship Id="rId14" Type="http://schemas.openxmlformats.org/officeDocument/2006/relationships/hyperlink" Target="http://newjersey.hometownlocator.com/NJ/Morris/" TargetMode="External"/><Relationship Id="rId22"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dimension ref="A1:AE132"/>
  <sheetViews>
    <sheetView showGridLines="0" view="pageBreakPreview" topLeftCell="A97" zoomScale="80" zoomScaleNormal="70" zoomScaleSheetLayoutView="80" workbookViewId="0">
      <selection activeCell="G36" sqref="G36"/>
    </sheetView>
  </sheetViews>
  <sheetFormatPr defaultRowHeight="14.4"/>
  <cols>
    <col min="1" max="1" width="3.33203125" style="178" customWidth="1"/>
    <col min="2" max="2" width="38.5546875" style="178" customWidth="1"/>
    <col min="3" max="3" width="5.6640625" style="178" customWidth="1"/>
    <col min="4" max="4" width="8.33203125" style="178" customWidth="1"/>
    <col min="5" max="8" width="10.6640625" style="178" customWidth="1"/>
    <col min="9" max="9" width="1.88671875" style="178" customWidth="1"/>
    <col min="10" max="11" width="10.6640625" style="178" customWidth="1"/>
    <col min="12" max="12" width="11.88671875" style="178" bestFit="1" customWidth="1"/>
    <col min="13" max="13" width="10.6640625" style="178" customWidth="1"/>
    <col min="14" max="14" width="2.33203125" style="178" customWidth="1"/>
    <col min="15" max="18" width="10.6640625" style="178" customWidth="1"/>
    <col min="19" max="19" width="2.33203125" style="178" customWidth="1"/>
    <col min="20" max="20" width="15.33203125" style="178" bestFit="1" customWidth="1"/>
    <col min="21" max="265" width="9.109375" style="178"/>
    <col min="266" max="266" width="3.33203125" style="178" customWidth="1"/>
    <col min="267" max="267" width="38.5546875" style="178" customWidth="1"/>
    <col min="268" max="268" width="2.44140625" style="178" customWidth="1"/>
    <col min="269" max="269" width="2.5546875" style="178" customWidth="1"/>
    <col min="270" max="270" width="11.109375" style="178" bestFit="1" customWidth="1"/>
    <col min="271" max="271" width="1.88671875" style="178" customWidth="1"/>
    <col min="272" max="272" width="9.109375" style="178"/>
    <col min="273" max="273" width="2.33203125" style="178" customWidth="1"/>
    <col min="274" max="274" width="30.5546875" style="178" customWidth="1"/>
    <col min="275" max="521" width="9.109375" style="178"/>
    <col min="522" max="522" width="3.33203125" style="178" customWidth="1"/>
    <col min="523" max="523" width="38.5546875" style="178" customWidth="1"/>
    <col min="524" max="524" width="2.44140625" style="178" customWidth="1"/>
    <col min="525" max="525" width="2.5546875" style="178" customWidth="1"/>
    <col min="526" max="526" width="11.109375" style="178" bestFit="1" customWidth="1"/>
    <col min="527" max="527" width="1.88671875" style="178" customWidth="1"/>
    <col min="528" max="528" width="9.109375" style="178"/>
    <col min="529" max="529" width="2.33203125" style="178" customWidth="1"/>
    <col min="530" max="530" width="30.5546875" style="178" customWidth="1"/>
    <col min="531" max="777" width="9.109375" style="178"/>
    <col min="778" max="778" width="3.33203125" style="178" customWidth="1"/>
    <col min="779" max="779" width="38.5546875" style="178" customWidth="1"/>
    <col min="780" max="780" width="2.44140625" style="178" customWidth="1"/>
    <col min="781" max="781" width="2.5546875" style="178" customWidth="1"/>
    <col min="782" max="782" width="11.109375" style="178" bestFit="1" customWidth="1"/>
    <col min="783" max="783" width="1.88671875" style="178" customWidth="1"/>
    <col min="784" max="784" width="9.109375" style="178"/>
    <col min="785" max="785" width="2.33203125" style="178" customWidth="1"/>
    <col min="786" max="786" width="30.5546875" style="178" customWidth="1"/>
    <col min="787" max="1033" width="9.109375" style="178"/>
    <col min="1034" max="1034" width="3.33203125" style="178" customWidth="1"/>
    <col min="1035" max="1035" width="38.5546875" style="178" customWidth="1"/>
    <col min="1036" max="1036" width="2.44140625" style="178" customWidth="1"/>
    <col min="1037" max="1037" width="2.5546875" style="178" customWidth="1"/>
    <col min="1038" max="1038" width="11.109375" style="178" bestFit="1" customWidth="1"/>
    <col min="1039" max="1039" width="1.88671875" style="178" customWidth="1"/>
    <col min="1040" max="1040" width="9.109375" style="178"/>
    <col min="1041" max="1041" width="2.33203125" style="178" customWidth="1"/>
    <col min="1042" max="1042" width="30.5546875" style="178" customWidth="1"/>
    <col min="1043" max="1289" width="9.109375" style="178"/>
    <col min="1290" max="1290" width="3.33203125" style="178" customWidth="1"/>
    <col min="1291" max="1291" width="38.5546875" style="178" customWidth="1"/>
    <col min="1292" max="1292" width="2.44140625" style="178" customWidth="1"/>
    <col min="1293" max="1293" width="2.5546875" style="178" customWidth="1"/>
    <col min="1294" max="1294" width="11.109375" style="178" bestFit="1" customWidth="1"/>
    <col min="1295" max="1295" width="1.88671875" style="178" customWidth="1"/>
    <col min="1296" max="1296" width="9.109375" style="178"/>
    <col min="1297" max="1297" width="2.33203125" style="178" customWidth="1"/>
    <col min="1298" max="1298" width="30.5546875" style="178" customWidth="1"/>
    <col min="1299" max="1545" width="9.109375" style="178"/>
    <col min="1546" max="1546" width="3.33203125" style="178" customWidth="1"/>
    <col min="1547" max="1547" width="38.5546875" style="178" customWidth="1"/>
    <col min="1548" max="1548" width="2.44140625" style="178" customWidth="1"/>
    <col min="1549" max="1549" width="2.5546875" style="178" customWidth="1"/>
    <col min="1550" max="1550" width="11.109375" style="178" bestFit="1" customWidth="1"/>
    <col min="1551" max="1551" width="1.88671875" style="178" customWidth="1"/>
    <col min="1552" max="1552" width="9.109375" style="178"/>
    <col min="1553" max="1553" width="2.33203125" style="178" customWidth="1"/>
    <col min="1554" max="1554" width="30.5546875" style="178" customWidth="1"/>
    <col min="1555" max="1801" width="9.109375" style="178"/>
    <col min="1802" max="1802" width="3.33203125" style="178" customWidth="1"/>
    <col min="1803" max="1803" width="38.5546875" style="178" customWidth="1"/>
    <col min="1804" max="1804" width="2.44140625" style="178" customWidth="1"/>
    <col min="1805" max="1805" width="2.5546875" style="178" customWidth="1"/>
    <col min="1806" max="1806" width="11.109375" style="178" bestFit="1" customWidth="1"/>
    <col min="1807" max="1807" width="1.88671875" style="178" customWidth="1"/>
    <col min="1808" max="1808" width="9.109375" style="178"/>
    <col min="1809" max="1809" width="2.33203125" style="178" customWidth="1"/>
    <col min="1810" max="1810" width="30.5546875" style="178" customWidth="1"/>
    <col min="1811" max="2057" width="9.109375" style="178"/>
    <col min="2058" max="2058" width="3.33203125" style="178" customWidth="1"/>
    <col min="2059" max="2059" width="38.5546875" style="178" customWidth="1"/>
    <col min="2060" max="2060" width="2.44140625" style="178" customWidth="1"/>
    <col min="2061" max="2061" width="2.5546875" style="178" customWidth="1"/>
    <col min="2062" max="2062" width="11.109375" style="178" bestFit="1" customWidth="1"/>
    <col min="2063" max="2063" width="1.88671875" style="178" customWidth="1"/>
    <col min="2064" max="2064" width="9.109375" style="178"/>
    <col min="2065" max="2065" width="2.33203125" style="178" customWidth="1"/>
    <col min="2066" max="2066" width="30.5546875" style="178" customWidth="1"/>
    <col min="2067" max="2313" width="9.109375" style="178"/>
    <col min="2314" max="2314" width="3.33203125" style="178" customWidth="1"/>
    <col min="2315" max="2315" width="38.5546875" style="178" customWidth="1"/>
    <col min="2316" max="2316" width="2.44140625" style="178" customWidth="1"/>
    <col min="2317" max="2317" width="2.5546875" style="178" customWidth="1"/>
    <col min="2318" max="2318" width="11.109375" style="178" bestFit="1" customWidth="1"/>
    <col min="2319" max="2319" width="1.88671875" style="178" customWidth="1"/>
    <col min="2320" max="2320" width="9.109375" style="178"/>
    <col min="2321" max="2321" width="2.33203125" style="178" customWidth="1"/>
    <col min="2322" max="2322" width="30.5546875" style="178" customWidth="1"/>
    <col min="2323" max="2569" width="9.109375" style="178"/>
    <col min="2570" max="2570" width="3.33203125" style="178" customWidth="1"/>
    <col min="2571" max="2571" width="38.5546875" style="178" customWidth="1"/>
    <col min="2572" max="2572" width="2.44140625" style="178" customWidth="1"/>
    <col min="2573" max="2573" width="2.5546875" style="178" customWidth="1"/>
    <col min="2574" max="2574" width="11.109375" style="178" bestFit="1" customWidth="1"/>
    <col min="2575" max="2575" width="1.88671875" style="178" customWidth="1"/>
    <col min="2576" max="2576" width="9.109375" style="178"/>
    <col min="2577" max="2577" width="2.33203125" style="178" customWidth="1"/>
    <col min="2578" max="2578" width="30.5546875" style="178" customWidth="1"/>
    <col min="2579" max="2825" width="9.109375" style="178"/>
    <col min="2826" max="2826" width="3.33203125" style="178" customWidth="1"/>
    <col min="2827" max="2827" width="38.5546875" style="178" customWidth="1"/>
    <col min="2828" max="2828" width="2.44140625" style="178" customWidth="1"/>
    <col min="2829" max="2829" width="2.5546875" style="178" customWidth="1"/>
    <col min="2830" max="2830" width="11.109375" style="178" bestFit="1" customWidth="1"/>
    <col min="2831" max="2831" width="1.88671875" style="178" customWidth="1"/>
    <col min="2832" max="2832" width="9.109375" style="178"/>
    <col min="2833" max="2833" width="2.33203125" style="178" customWidth="1"/>
    <col min="2834" max="2834" width="30.5546875" style="178" customWidth="1"/>
    <col min="2835" max="3081" width="9.109375" style="178"/>
    <col min="3082" max="3082" width="3.33203125" style="178" customWidth="1"/>
    <col min="3083" max="3083" width="38.5546875" style="178" customWidth="1"/>
    <col min="3084" max="3084" width="2.44140625" style="178" customWidth="1"/>
    <col min="3085" max="3085" width="2.5546875" style="178" customWidth="1"/>
    <col min="3086" max="3086" width="11.109375" style="178" bestFit="1" customWidth="1"/>
    <col min="3087" max="3087" width="1.88671875" style="178" customWidth="1"/>
    <col min="3088" max="3088" width="9.109375" style="178"/>
    <col min="3089" max="3089" width="2.33203125" style="178" customWidth="1"/>
    <col min="3090" max="3090" width="30.5546875" style="178" customWidth="1"/>
    <col min="3091" max="3337" width="9.109375" style="178"/>
    <col min="3338" max="3338" width="3.33203125" style="178" customWidth="1"/>
    <col min="3339" max="3339" width="38.5546875" style="178" customWidth="1"/>
    <col min="3340" max="3340" width="2.44140625" style="178" customWidth="1"/>
    <col min="3341" max="3341" width="2.5546875" style="178" customWidth="1"/>
    <col min="3342" max="3342" width="11.109375" style="178" bestFit="1" customWidth="1"/>
    <col min="3343" max="3343" width="1.88671875" style="178" customWidth="1"/>
    <col min="3344" max="3344" width="9.109375" style="178"/>
    <col min="3345" max="3345" width="2.33203125" style="178" customWidth="1"/>
    <col min="3346" max="3346" width="30.5546875" style="178" customWidth="1"/>
    <col min="3347" max="3593" width="9.109375" style="178"/>
    <col min="3594" max="3594" width="3.33203125" style="178" customWidth="1"/>
    <col min="3595" max="3595" width="38.5546875" style="178" customWidth="1"/>
    <col min="3596" max="3596" width="2.44140625" style="178" customWidth="1"/>
    <col min="3597" max="3597" width="2.5546875" style="178" customWidth="1"/>
    <col min="3598" max="3598" width="11.109375" style="178" bestFit="1" customWidth="1"/>
    <col min="3599" max="3599" width="1.88671875" style="178" customWidth="1"/>
    <col min="3600" max="3600" width="9.109375" style="178"/>
    <col min="3601" max="3601" width="2.33203125" style="178" customWidth="1"/>
    <col min="3602" max="3602" width="30.5546875" style="178" customWidth="1"/>
    <col min="3603" max="3849" width="9.109375" style="178"/>
    <col min="3850" max="3850" width="3.33203125" style="178" customWidth="1"/>
    <col min="3851" max="3851" width="38.5546875" style="178" customWidth="1"/>
    <col min="3852" max="3852" width="2.44140625" style="178" customWidth="1"/>
    <col min="3853" max="3853" width="2.5546875" style="178" customWidth="1"/>
    <col min="3854" max="3854" width="11.109375" style="178" bestFit="1" customWidth="1"/>
    <col min="3855" max="3855" width="1.88671875" style="178" customWidth="1"/>
    <col min="3856" max="3856" width="9.109375" style="178"/>
    <col min="3857" max="3857" width="2.33203125" style="178" customWidth="1"/>
    <col min="3858" max="3858" width="30.5546875" style="178" customWidth="1"/>
    <col min="3859" max="4105" width="9.109375" style="178"/>
    <col min="4106" max="4106" width="3.33203125" style="178" customWidth="1"/>
    <col min="4107" max="4107" width="38.5546875" style="178" customWidth="1"/>
    <col min="4108" max="4108" width="2.44140625" style="178" customWidth="1"/>
    <col min="4109" max="4109" width="2.5546875" style="178" customWidth="1"/>
    <col min="4110" max="4110" width="11.109375" style="178" bestFit="1" customWidth="1"/>
    <col min="4111" max="4111" width="1.88671875" style="178" customWidth="1"/>
    <col min="4112" max="4112" width="9.109375" style="178"/>
    <col min="4113" max="4113" width="2.33203125" style="178" customWidth="1"/>
    <col min="4114" max="4114" width="30.5546875" style="178" customWidth="1"/>
    <col min="4115" max="4361" width="9.109375" style="178"/>
    <col min="4362" max="4362" width="3.33203125" style="178" customWidth="1"/>
    <col min="4363" max="4363" width="38.5546875" style="178" customWidth="1"/>
    <col min="4364" max="4364" width="2.44140625" style="178" customWidth="1"/>
    <col min="4365" max="4365" width="2.5546875" style="178" customWidth="1"/>
    <col min="4366" max="4366" width="11.109375" style="178" bestFit="1" customWidth="1"/>
    <col min="4367" max="4367" width="1.88671875" style="178" customWidth="1"/>
    <col min="4368" max="4368" width="9.109375" style="178"/>
    <col min="4369" max="4369" width="2.33203125" style="178" customWidth="1"/>
    <col min="4370" max="4370" width="30.5546875" style="178" customWidth="1"/>
    <col min="4371" max="4617" width="9.109375" style="178"/>
    <col min="4618" max="4618" width="3.33203125" style="178" customWidth="1"/>
    <col min="4619" max="4619" width="38.5546875" style="178" customWidth="1"/>
    <col min="4620" max="4620" width="2.44140625" style="178" customWidth="1"/>
    <col min="4621" max="4621" width="2.5546875" style="178" customWidth="1"/>
    <col min="4622" max="4622" width="11.109375" style="178" bestFit="1" customWidth="1"/>
    <col min="4623" max="4623" width="1.88671875" style="178" customWidth="1"/>
    <col min="4624" max="4624" width="9.109375" style="178"/>
    <col min="4625" max="4625" width="2.33203125" style="178" customWidth="1"/>
    <col min="4626" max="4626" width="30.5546875" style="178" customWidth="1"/>
    <col min="4627" max="4873" width="9.109375" style="178"/>
    <col min="4874" max="4874" width="3.33203125" style="178" customWidth="1"/>
    <col min="4875" max="4875" width="38.5546875" style="178" customWidth="1"/>
    <col min="4876" max="4876" width="2.44140625" style="178" customWidth="1"/>
    <col min="4877" max="4877" width="2.5546875" style="178" customWidth="1"/>
    <col min="4878" max="4878" width="11.109375" style="178" bestFit="1" customWidth="1"/>
    <col min="4879" max="4879" width="1.88671875" style="178" customWidth="1"/>
    <col min="4880" max="4880" width="9.109375" style="178"/>
    <col min="4881" max="4881" width="2.33203125" style="178" customWidth="1"/>
    <col min="4882" max="4882" width="30.5546875" style="178" customWidth="1"/>
    <col min="4883" max="5129" width="9.109375" style="178"/>
    <col min="5130" max="5130" width="3.33203125" style="178" customWidth="1"/>
    <col min="5131" max="5131" width="38.5546875" style="178" customWidth="1"/>
    <col min="5132" max="5132" width="2.44140625" style="178" customWidth="1"/>
    <col min="5133" max="5133" width="2.5546875" style="178" customWidth="1"/>
    <col min="5134" max="5134" width="11.109375" style="178" bestFit="1" customWidth="1"/>
    <col min="5135" max="5135" width="1.88671875" style="178" customWidth="1"/>
    <col min="5136" max="5136" width="9.109375" style="178"/>
    <col min="5137" max="5137" width="2.33203125" style="178" customWidth="1"/>
    <col min="5138" max="5138" width="30.5546875" style="178" customWidth="1"/>
    <col min="5139" max="5385" width="9.109375" style="178"/>
    <col min="5386" max="5386" width="3.33203125" style="178" customWidth="1"/>
    <col min="5387" max="5387" width="38.5546875" style="178" customWidth="1"/>
    <col min="5388" max="5388" width="2.44140625" style="178" customWidth="1"/>
    <col min="5389" max="5389" width="2.5546875" style="178" customWidth="1"/>
    <col min="5390" max="5390" width="11.109375" style="178" bestFit="1" customWidth="1"/>
    <col min="5391" max="5391" width="1.88671875" style="178" customWidth="1"/>
    <col min="5392" max="5392" width="9.109375" style="178"/>
    <col min="5393" max="5393" width="2.33203125" style="178" customWidth="1"/>
    <col min="5394" max="5394" width="30.5546875" style="178" customWidth="1"/>
    <col min="5395" max="5641" width="9.109375" style="178"/>
    <col min="5642" max="5642" width="3.33203125" style="178" customWidth="1"/>
    <col min="5643" max="5643" width="38.5546875" style="178" customWidth="1"/>
    <col min="5644" max="5644" width="2.44140625" style="178" customWidth="1"/>
    <col min="5645" max="5645" width="2.5546875" style="178" customWidth="1"/>
    <col min="5646" max="5646" width="11.109375" style="178" bestFit="1" customWidth="1"/>
    <col min="5647" max="5647" width="1.88671875" style="178" customWidth="1"/>
    <col min="5648" max="5648" width="9.109375" style="178"/>
    <col min="5649" max="5649" width="2.33203125" style="178" customWidth="1"/>
    <col min="5650" max="5650" width="30.5546875" style="178" customWidth="1"/>
    <col min="5651" max="5897" width="9.109375" style="178"/>
    <col min="5898" max="5898" width="3.33203125" style="178" customWidth="1"/>
    <col min="5899" max="5899" width="38.5546875" style="178" customWidth="1"/>
    <col min="5900" max="5900" width="2.44140625" style="178" customWidth="1"/>
    <col min="5901" max="5901" width="2.5546875" style="178" customWidth="1"/>
    <col min="5902" max="5902" width="11.109375" style="178" bestFit="1" customWidth="1"/>
    <col min="5903" max="5903" width="1.88671875" style="178" customWidth="1"/>
    <col min="5904" max="5904" width="9.109375" style="178"/>
    <col min="5905" max="5905" width="2.33203125" style="178" customWidth="1"/>
    <col min="5906" max="5906" width="30.5546875" style="178" customWidth="1"/>
    <col min="5907" max="6153" width="9.109375" style="178"/>
    <col min="6154" max="6154" width="3.33203125" style="178" customWidth="1"/>
    <col min="6155" max="6155" width="38.5546875" style="178" customWidth="1"/>
    <col min="6156" max="6156" width="2.44140625" style="178" customWidth="1"/>
    <col min="6157" max="6157" width="2.5546875" style="178" customWidth="1"/>
    <col min="6158" max="6158" width="11.109375" style="178" bestFit="1" customWidth="1"/>
    <col min="6159" max="6159" width="1.88671875" style="178" customWidth="1"/>
    <col min="6160" max="6160" width="9.109375" style="178"/>
    <col min="6161" max="6161" width="2.33203125" style="178" customWidth="1"/>
    <col min="6162" max="6162" width="30.5546875" style="178" customWidth="1"/>
    <col min="6163" max="6409" width="9.109375" style="178"/>
    <col min="6410" max="6410" width="3.33203125" style="178" customWidth="1"/>
    <col min="6411" max="6411" width="38.5546875" style="178" customWidth="1"/>
    <col min="6412" max="6412" width="2.44140625" style="178" customWidth="1"/>
    <col min="6413" max="6413" width="2.5546875" style="178" customWidth="1"/>
    <col min="6414" max="6414" width="11.109375" style="178" bestFit="1" customWidth="1"/>
    <col min="6415" max="6415" width="1.88671875" style="178" customWidth="1"/>
    <col min="6416" max="6416" width="9.109375" style="178"/>
    <col min="6417" max="6417" width="2.33203125" style="178" customWidth="1"/>
    <col min="6418" max="6418" width="30.5546875" style="178" customWidth="1"/>
    <col min="6419" max="6665" width="9.109375" style="178"/>
    <col min="6666" max="6666" width="3.33203125" style="178" customWidth="1"/>
    <col min="6667" max="6667" width="38.5546875" style="178" customWidth="1"/>
    <col min="6668" max="6668" width="2.44140625" style="178" customWidth="1"/>
    <col min="6669" max="6669" width="2.5546875" style="178" customWidth="1"/>
    <col min="6670" max="6670" width="11.109375" style="178" bestFit="1" customWidth="1"/>
    <col min="6671" max="6671" width="1.88671875" style="178" customWidth="1"/>
    <col min="6672" max="6672" width="9.109375" style="178"/>
    <col min="6673" max="6673" width="2.33203125" style="178" customWidth="1"/>
    <col min="6674" max="6674" width="30.5546875" style="178" customWidth="1"/>
    <col min="6675" max="6921" width="9.109375" style="178"/>
    <col min="6922" max="6922" width="3.33203125" style="178" customWidth="1"/>
    <col min="6923" max="6923" width="38.5546875" style="178" customWidth="1"/>
    <col min="6924" max="6924" width="2.44140625" style="178" customWidth="1"/>
    <col min="6925" max="6925" width="2.5546875" style="178" customWidth="1"/>
    <col min="6926" max="6926" width="11.109375" style="178" bestFit="1" customWidth="1"/>
    <col min="6927" max="6927" width="1.88671875" style="178" customWidth="1"/>
    <col min="6928" max="6928" width="9.109375" style="178"/>
    <col min="6929" max="6929" width="2.33203125" style="178" customWidth="1"/>
    <col min="6930" max="6930" width="30.5546875" style="178" customWidth="1"/>
    <col min="6931" max="7177" width="9.109375" style="178"/>
    <col min="7178" max="7178" width="3.33203125" style="178" customWidth="1"/>
    <col min="7179" max="7179" width="38.5546875" style="178" customWidth="1"/>
    <col min="7180" max="7180" width="2.44140625" style="178" customWidth="1"/>
    <col min="7181" max="7181" width="2.5546875" style="178" customWidth="1"/>
    <col min="7182" max="7182" width="11.109375" style="178" bestFit="1" customWidth="1"/>
    <col min="7183" max="7183" width="1.88671875" style="178" customWidth="1"/>
    <col min="7184" max="7184" width="9.109375" style="178"/>
    <col min="7185" max="7185" width="2.33203125" style="178" customWidth="1"/>
    <col min="7186" max="7186" width="30.5546875" style="178" customWidth="1"/>
    <col min="7187" max="7433" width="9.109375" style="178"/>
    <col min="7434" max="7434" width="3.33203125" style="178" customWidth="1"/>
    <col min="7435" max="7435" width="38.5546875" style="178" customWidth="1"/>
    <col min="7436" max="7436" width="2.44140625" style="178" customWidth="1"/>
    <col min="7437" max="7437" width="2.5546875" style="178" customWidth="1"/>
    <col min="7438" max="7438" width="11.109375" style="178" bestFit="1" customWidth="1"/>
    <col min="7439" max="7439" width="1.88671875" style="178" customWidth="1"/>
    <col min="7440" max="7440" width="9.109375" style="178"/>
    <col min="7441" max="7441" width="2.33203125" style="178" customWidth="1"/>
    <col min="7442" max="7442" width="30.5546875" style="178" customWidth="1"/>
    <col min="7443" max="7689" width="9.109375" style="178"/>
    <col min="7690" max="7690" width="3.33203125" style="178" customWidth="1"/>
    <col min="7691" max="7691" width="38.5546875" style="178" customWidth="1"/>
    <col min="7692" max="7692" width="2.44140625" style="178" customWidth="1"/>
    <col min="7693" max="7693" width="2.5546875" style="178" customWidth="1"/>
    <col min="7694" max="7694" width="11.109375" style="178" bestFit="1" customWidth="1"/>
    <col min="7695" max="7695" width="1.88671875" style="178" customWidth="1"/>
    <col min="7696" max="7696" width="9.109375" style="178"/>
    <col min="7697" max="7697" width="2.33203125" style="178" customWidth="1"/>
    <col min="7698" max="7698" width="30.5546875" style="178" customWidth="1"/>
    <col min="7699" max="7945" width="9.109375" style="178"/>
    <col min="7946" max="7946" width="3.33203125" style="178" customWidth="1"/>
    <col min="7947" max="7947" width="38.5546875" style="178" customWidth="1"/>
    <col min="7948" max="7948" width="2.44140625" style="178" customWidth="1"/>
    <col min="7949" max="7949" width="2.5546875" style="178" customWidth="1"/>
    <col min="7950" max="7950" width="11.109375" style="178" bestFit="1" customWidth="1"/>
    <col min="7951" max="7951" width="1.88671875" style="178" customWidth="1"/>
    <col min="7952" max="7952" width="9.109375" style="178"/>
    <col min="7953" max="7953" width="2.33203125" style="178" customWidth="1"/>
    <col min="7954" max="7954" width="30.5546875" style="178" customWidth="1"/>
    <col min="7955" max="8201" width="9.109375" style="178"/>
    <col min="8202" max="8202" width="3.33203125" style="178" customWidth="1"/>
    <col min="8203" max="8203" width="38.5546875" style="178" customWidth="1"/>
    <col min="8204" max="8204" width="2.44140625" style="178" customWidth="1"/>
    <col min="8205" max="8205" width="2.5546875" style="178" customWidth="1"/>
    <col min="8206" max="8206" width="11.109375" style="178" bestFit="1" customWidth="1"/>
    <col min="8207" max="8207" width="1.88671875" style="178" customWidth="1"/>
    <col min="8208" max="8208" width="9.109375" style="178"/>
    <col min="8209" max="8209" width="2.33203125" style="178" customWidth="1"/>
    <col min="8210" max="8210" width="30.5546875" style="178" customWidth="1"/>
    <col min="8211" max="8457" width="9.109375" style="178"/>
    <col min="8458" max="8458" width="3.33203125" style="178" customWidth="1"/>
    <col min="8459" max="8459" width="38.5546875" style="178" customWidth="1"/>
    <col min="8460" max="8460" width="2.44140625" style="178" customWidth="1"/>
    <col min="8461" max="8461" width="2.5546875" style="178" customWidth="1"/>
    <col min="8462" max="8462" width="11.109375" style="178" bestFit="1" customWidth="1"/>
    <col min="8463" max="8463" width="1.88671875" style="178" customWidth="1"/>
    <col min="8464" max="8464" width="9.109375" style="178"/>
    <col min="8465" max="8465" width="2.33203125" style="178" customWidth="1"/>
    <col min="8466" max="8466" width="30.5546875" style="178" customWidth="1"/>
    <col min="8467" max="8713" width="9.109375" style="178"/>
    <col min="8714" max="8714" width="3.33203125" style="178" customWidth="1"/>
    <col min="8715" max="8715" width="38.5546875" style="178" customWidth="1"/>
    <col min="8716" max="8716" width="2.44140625" style="178" customWidth="1"/>
    <col min="8717" max="8717" width="2.5546875" style="178" customWidth="1"/>
    <col min="8718" max="8718" width="11.109375" style="178" bestFit="1" customWidth="1"/>
    <col min="8719" max="8719" width="1.88671875" style="178" customWidth="1"/>
    <col min="8720" max="8720" width="9.109375" style="178"/>
    <col min="8721" max="8721" width="2.33203125" style="178" customWidth="1"/>
    <col min="8722" max="8722" width="30.5546875" style="178" customWidth="1"/>
    <col min="8723" max="8969" width="9.109375" style="178"/>
    <col min="8970" max="8970" width="3.33203125" style="178" customWidth="1"/>
    <col min="8971" max="8971" width="38.5546875" style="178" customWidth="1"/>
    <col min="8972" max="8972" width="2.44140625" style="178" customWidth="1"/>
    <col min="8973" max="8973" width="2.5546875" style="178" customWidth="1"/>
    <col min="8974" max="8974" width="11.109375" style="178" bestFit="1" customWidth="1"/>
    <col min="8975" max="8975" width="1.88671875" style="178" customWidth="1"/>
    <col min="8976" max="8976" width="9.109375" style="178"/>
    <col min="8977" max="8977" width="2.33203125" style="178" customWidth="1"/>
    <col min="8978" max="8978" width="30.5546875" style="178" customWidth="1"/>
    <col min="8979" max="9225" width="9.109375" style="178"/>
    <col min="9226" max="9226" width="3.33203125" style="178" customWidth="1"/>
    <col min="9227" max="9227" width="38.5546875" style="178" customWidth="1"/>
    <col min="9228" max="9228" width="2.44140625" style="178" customWidth="1"/>
    <col min="9229" max="9229" width="2.5546875" style="178" customWidth="1"/>
    <col min="9230" max="9230" width="11.109375" style="178" bestFit="1" customWidth="1"/>
    <col min="9231" max="9231" width="1.88671875" style="178" customWidth="1"/>
    <col min="9232" max="9232" width="9.109375" style="178"/>
    <col min="9233" max="9233" width="2.33203125" style="178" customWidth="1"/>
    <col min="9234" max="9234" width="30.5546875" style="178" customWidth="1"/>
    <col min="9235" max="9481" width="9.109375" style="178"/>
    <col min="9482" max="9482" width="3.33203125" style="178" customWidth="1"/>
    <col min="9483" max="9483" width="38.5546875" style="178" customWidth="1"/>
    <col min="9484" max="9484" width="2.44140625" style="178" customWidth="1"/>
    <col min="9485" max="9485" width="2.5546875" style="178" customWidth="1"/>
    <col min="9486" max="9486" width="11.109375" style="178" bestFit="1" customWidth="1"/>
    <col min="9487" max="9487" width="1.88671875" style="178" customWidth="1"/>
    <col min="9488" max="9488" width="9.109375" style="178"/>
    <col min="9489" max="9489" width="2.33203125" style="178" customWidth="1"/>
    <col min="9490" max="9490" width="30.5546875" style="178" customWidth="1"/>
    <col min="9491" max="9737" width="9.109375" style="178"/>
    <col min="9738" max="9738" width="3.33203125" style="178" customWidth="1"/>
    <col min="9739" max="9739" width="38.5546875" style="178" customWidth="1"/>
    <col min="9740" max="9740" width="2.44140625" style="178" customWidth="1"/>
    <col min="9741" max="9741" width="2.5546875" style="178" customWidth="1"/>
    <col min="9742" max="9742" width="11.109375" style="178" bestFit="1" customWidth="1"/>
    <col min="9743" max="9743" width="1.88671875" style="178" customWidth="1"/>
    <col min="9744" max="9744" width="9.109375" style="178"/>
    <col min="9745" max="9745" width="2.33203125" style="178" customWidth="1"/>
    <col min="9746" max="9746" width="30.5546875" style="178" customWidth="1"/>
    <col min="9747" max="9993" width="9.109375" style="178"/>
    <col min="9994" max="9994" width="3.33203125" style="178" customWidth="1"/>
    <col min="9995" max="9995" width="38.5546875" style="178" customWidth="1"/>
    <col min="9996" max="9996" width="2.44140625" style="178" customWidth="1"/>
    <col min="9997" max="9997" width="2.5546875" style="178" customWidth="1"/>
    <col min="9998" max="9998" width="11.109375" style="178" bestFit="1" customWidth="1"/>
    <col min="9999" max="9999" width="1.88671875" style="178" customWidth="1"/>
    <col min="10000" max="10000" width="9.109375" style="178"/>
    <col min="10001" max="10001" width="2.33203125" style="178" customWidth="1"/>
    <col min="10002" max="10002" width="30.5546875" style="178" customWidth="1"/>
    <col min="10003" max="10249" width="9.109375" style="178"/>
    <col min="10250" max="10250" width="3.33203125" style="178" customWidth="1"/>
    <col min="10251" max="10251" width="38.5546875" style="178" customWidth="1"/>
    <col min="10252" max="10252" width="2.44140625" style="178" customWidth="1"/>
    <col min="10253" max="10253" width="2.5546875" style="178" customWidth="1"/>
    <col min="10254" max="10254" width="11.109375" style="178" bestFit="1" customWidth="1"/>
    <col min="10255" max="10255" width="1.88671875" style="178" customWidth="1"/>
    <col min="10256" max="10256" width="9.109375" style="178"/>
    <col min="10257" max="10257" width="2.33203125" style="178" customWidth="1"/>
    <col min="10258" max="10258" width="30.5546875" style="178" customWidth="1"/>
    <col min="10259" max="10505" width="9.109375" style="178"/>
    <col min="10506" max="10506" width="3.33203125" style="178" customWidth="1"/>
    <col min="10507" max="10507" width="38.5546875" style="178" customWidth="1"/>
    <col min="10508" max="10508" width="2.44140625" style="178" customWidth="1"/>
    <col min="10509" max="10509" width="2.5546875" style="178" customWidth="1"/>
    <col min="10510" max="10510" width="11.109375" style="178" bestFit="1" customWidth="1"/>
    <col min="10511" max="10511" width="1.88671875" style="178" customWidth="1"/>
    <col min="10512" max="10512" width="9.109375" style="178"/>
    <col min="10513" max="10513" width="2.33203125" style="178" customWidth="1"/>
    <col min="10514" max="10514" width="30.5546875" style="178" customWidth="1"/>
    <col min="10515" max="10761" width="9.109375" style="178"/>
    <col min="10762" max="10762" width="3.33203125" style="178" customWidth="1"/>
    <col min="10763" max="10763" width="38.5546875" style="178" customWidth="1"/>
    <col min="10764" max="10764" width="2.44140625" style="178" customWidth="1"/>
    <col min="10765" max="10765" width="2.5546875" style="178" customWidth="1"/>
    <col min="10766" max="10766" width="11.109375" style="178" bestFit="1" customWidth="1"/>
    <col min="10767" max="10767" width="1.88671875" style="178" customWidth="1"/>
    <col min="10768" max="10768" width="9.109375" style="178"/>
    <col min="10769" max="10769" width="2.33203125" style="178" customWidth="1"/>
    <col min="10770" max="10770" width="30.5546875" style="178" customWidth="1"/>
    <col min="10771" max="11017" width="9.109375" style="178"/>
    <col min="11018" max="11018" width="3.33203125" style="178" customWidth="1"/>
    <col min="11019" max="11019" width="38.5546875" style="178" customWidth="1"/>
    <col min="11020" max="11020" width="2.44140625" style="178" customWidth="1"/>
    <col min="11021" max="11021" width="2.5546875" style="178" customWidth="1"/>
    <col min="11022" max="11022" width="11.109375" style="178" bestFit="1" customWidth="1"/>
    <col min="11023" max="11023" width="1.88671875" style="178" customWidth="1"/>
    <col min="11024" max="11024" width="9.109375" style="178"/>
    <col min="11025" max="11025" width="2.33203125" style="178" customWidth="1"/>
    <col min="11026" max="11026" width="30.5546875" style="178" customWidth="1"/>
    <col min="11027" max="11273" width="9.109375" style="178"/>
    <col min="11274" max="11274" width="3.33203125" style="178" customWidth="1"/>
    <col min="11275" max="11275" width="38.5546875" style="178" customWidth="1"/>
    <col min="11276" max="11276" width="2.44140625" style="178" customWidth="1"/>
    <col min="11277" max="11277" width="2.5546875" style="178" customWidth="1"/>
    <col min="11278" max="11278" width="11.109375" style="178" bestFit="1" customWidth="1"/>
    <col min="11279" max="11279" width="1.88671875" style="178" customWidth="1"/>
    <col min="11280" max="11280" width="9.109375" style="178"/>
    <col min="11281" max="11281" width="2.33203125" style="178" customWidth="1"/>
    <col min="11282" max="11282" width="30.5546875" style="178" customWidth="1"/>
    <col min="11283" max="11529" width="9.109375" style="178"/>
    <col min="11530" max="11530" width="3.33203125" style="178" customWidth="1"/>
    <col min="11531" max="11531" width="38.5546875" style="178" customWidth="1"/>
    <col min="11532" max="11532" width="2.44140625" style="178" customWidth="1"/>
    <col min="11533" max="11533" width="2.5546875" style="178" customWidth="1"/>
    <col min="11534" max="11534" width="11.109375" style="178" bestFit="1" customWidth="1"/>
    <col min="11535" max="11535" width="1.88671875" style="178" customWidth="1"/>
    <col min="11536" max="11536" width="9.109375" style="178"/>
    <col min="11537" max="11537" width="2.33203125" style="178" customWidth="1"/>
    <col min="11538" max="11538" width="30.5546875" style="178" customWidth="1"/>
    <col min="11539" max="11785" width="9.109375" style="178"/>
    <col min="11786" max="11786" width="3.33203125" style="178" customWidth="1"/>
    <col min="11787" max="11787" width="38.5546875" style="178" customWidth="1"/>
    <col min="11788" max="11788" width="2.44140625" style="178" customWidth="1"/>
    <col min="11789" max="11789" width="2.5546875" style="178" customWidth="1"/>
    <col min="11790" max="11790" width="11.109375" style="178" bestFit="1" customWidth="1"/>
    <col min="11791" max="11791" width="1.88671875" style="178" customWidth="1"/>
    <col min="11792" max="11792" width="9.109375" style="178"/>
    <col min="11793" max="11793" width="2.33203125" style="178" customWidth="1"/>
    <col min="11794" max="11794" width="30.5546875" style="178" customWidth="1"/>
    <col min="11795" max="12041" width="9.109375" style="178"/>
    <col min="12042" max="12042" width="3.33203125" style="178" customWidth="1"/>
    <col min="12043" max="12043" width="38.5546875" style="178" customWidth="1"/>
    <col min="12044" max="12044" width="2.44140625" style="178" customWidth="1"/>
    <col min="12045" max="12045" width="2.5546875" style="178" customWidth="1"/>
    <col min="12046" max="12046" width="11.109375" style="178" bestFit="1" customWidth="1"/>
    <col min="12047" max="12047" width="1.88671875" style="178" customWidth="1"/>
    <col min="12048" max="12048" width="9.109375" style="178"/>
    <col min="12049" max="12049" width="2.33203125" style="178" customWidth="1"/>
    <col min="12050" max="12050" width="30.5546875" style="178" customWidth="1"/>
    <col min="12051" max="12297" width="9.109375" style="178"/>
    <col min="12298" max="12298" width="3.33203125" style="178" customWidth="1"/>
    <col min="12299" max="12299" width="38.5546875" style="178" customWidth="1"/>
    <col min="12300" max="12300" width="2.44140625" style="178" customWidth="1"/>
    <col min="12301" max="12301" width="2.5546875" style="178" customWidth="1"/>
    <col min="12302" max="12302" width="11.109375" style="178" bestFit="1" customWidth="1"/>
    <col min="12303" max="12303" width="1.88671875" style="178" customWidth="1"/>
    <col min="12304" max="12304" width="9.109375" style="178"/>
    <col min="12305" max="12305" width="2.33203125" style="178" customWidth="1"/>
    <col min="12306" max="12306" width="30.5546875" style="178" customWidth="1"/>
    <col min="12307" max="12553" width="9.109375" style="178"/>
    <col min="12554" max="12554" width="3.33203125" style="178" customWidth="1"/>
    <col min="12555" max="12555" width="38.5546875" style="178" customWidth="1"/>
    <col min="12556" max="12556" width="2.44140625" style="178" customWidth="1"/>
    <col min="12557" max="12557" width="2.5546875" style="178" customWidth="1"/>
    <col min="12558" max="12558" width="11.109375" style="178" bestFit="1" customWidth="1"/>
    <col min="12559" max="12559" width="1.88671875" style="178" customWidth="1"/>
    <col min="12560" max="12560" width="9.109375" style="178"/>
    <col min="12561" max="12561" width="2.33203125" style="178" customWidth="1"/>
    <col min="12562" max="12562" width="30.5546875" style="178" customWidth="1"/>
    <col min="12563" max="12809" width="9.109375" style="178"/>
    <col min="12810" max="12810" width="3.33203125" style="178" customWidth="1"/>
    <col min="12811" max="12811" width="38.5546875" style="178" customWidth="1"/>
    <col min="12812" max="12812" width="2.44140625" style="178" customWidth="1"/>
    <col min="12813" max="12813" width="2.5546875" style="178" customWidth="1"/>
    <col min="12814" max="12814" width="11.109375" style="178" bestFit="1" customWidth="1"/>
    <col min="12815" max="12815" width="1.88671875" style="178" customWidth="1"/>
    <col min="12816" max="12816" width="9.109375" style="178"/>
    <col min="12817" max="12817" width="2.33203125" style="178" customWidth="1"/>
    <col min="12818" max="12818" width="30.5546875" style="178" customWidth="1"/>
    <col min="12819" max="13065" width="9.109375" style="178"/>
    <col min="13066" max="13066" width="3.33203125" style="178" customWidth="1"/>
    <col min="13067" max="13067" width="38.5546875" style="178" customWidth="1"/>
    <col min="13068" max="13068" width="2.44140625" style="178" customWidth="1"/>
    <col min="13069" max="13069" width="2.5546875" style="178" customWidth="1"/>
    <col min="13070" max="13070" width="11.109375" style="178" bestFit="1" customWidth="1"/>
    <col min="13071" max="13071" width="1.88671875" style="178" customWidth="1"/>
    <col min="13072" max="13072" width="9.109375" style="178"/>
    <col min="13073" max="13073" width="2.33203125" style="178" customWidth="1"/>
    <col min="13074" max="13074" width="30.5546875" style="178" customWidth="1"/>
    <col min="13075" max="13321" width="9.109375" style="178"/>
    <col min="13322" max="13322" width="3.33203125" style="178" customWidth="1"/>
    <col min="13323" max="13323" width="38.5546875" style="178" customWidth="1"/>
    <col min="13324" max="13324" width="2.44140625" style="178" customWidth="1"/>
    <col min="13325" max="13325" width="2.5546875" style="178" customWidth="1"/>
    <col min="13326" max="13326" width="11.109375" style="178" bestFit="1" customWidth="1"/>
    <col min="13327" max="13327" width="1.88671875" style="178" customWidth="1"/>
    <col min="13328" max="13328" width="9.109375" style="178"/>
    <col min="13329" max="13329" width="2.33203125" style="178" customWidth="1"/>
    <col min="13330" max="13330" width="30.5546875" style="178" customWidth="1"/>
    <col min="13331" max="13577" width="9.109375" style="178"/>
    <col min="13578" max="13578" width="3.33203125" style="178" customWidth="1"/>
    <col min="13579" max="13579" width="38.5546875" style="178" customWidth="1"/>
    <col min="13580" max="13580" width="2.44140625" style="178" customWidth="1"/>
    <col min="13581" max="13581" width="2.5546875" style="178" customWidth="1"/>
    <col min="13582" max="13582" width="11.109375" style="178" bestFit="1" customWidth="1"/>
    <col min="13583" max="13583" width="1.88671875" style="178" customWidth="1"/>
    <col min="13584" max="13584" width="9.109375" style="178"/>
    <col min="13585" max="13585" width="2.33203125" style="178" customWidth="1"/>
    <col min="13586" max="13586" width="30.5546875" style="178" customWidth="1"/>
    <col min="13587" max="13833" width="9.109375" style="178"/>
    <col min="13834" max="13834" width="3.33203125" style="178" customWidth="1"/>
    <col min="13835" max="13835" width="38.5546875" style="178" customWidth="1"/>
    <col min="13836" max="13836" width="2.44140625" style="178" customWidth="1"/>
    <col min="13837" max="13837" width="2.5546875" style="178" customWidth="1"/>
    <col min="13838" max="13838" width="11.109375" style="178" bestFit="1" customWidth="1"/>
    <col min="13839" max="13839" width="1.88671875" style="178" customWidth="1"/>
    <col min="13840" max="13840" width="9.109375" style="178"/>
    <col min="13841" max="13841" width="2.33203125" style="178" customWidth="1"/>
    <col min="13842" max="13842" width="30.5546875" style="178" customWidth="1"/>
    <col min="13843" max="14089" width="9.109375" style="178"/>
    <col min="14090" max="14090" width="3.33203125" style="178" customWidth="1"/>
    <col min="14091" max="14091" width="38.5546875" style="178" customWidth="1"/>
    <col min="14092" max="14092" width="2.44140625" style="178" customWidth="1"/>
    <col min="14093" max="14093" width="2.5546875" style="178" customWidth="1"/>
    <col min="14094" max="14094" width="11.109375" style="178" bestFit="1" customWidth="1"/>
    <col min="14095" max="14095" width="1.88671875" style="178" customWidth="1"/>
    <col min="14096" max="14096" width="9.109375" style="178"/>
    <col min="14097" max="14097" width="2.33203125" style="178" customWidth="1"/>
    <col min="14098" max="14098" width="30.5546875" style="178" customWidth="1"/>
    <col min="14099" max="14345" width="9.109375" style="178"/>
    <col min="14346" max="14346" width="3.33203125" style="178" customWidth="1"/>
    <col min="14347" max="14347" width="38.5546875" style="178" customWidth="1"/>
    <col min="14348" max="14348" width="2.44140625" style="178" customWidth="1"/>
    <col min="14349" max="14349" width="2.5546875" style="178" customWidth="1"/>
    <col min="14350" max="14350" width="11.109375" style="178" bestFit="1" customWidth="1"/>
    <col min="14351" max="14351" width="1.88671875" style="178" customWidth="1"/>
    <col min="14352" max="14352" width="9.109375" style="178"/>
    <col min="14353" max="14353" width="2.33203125" style="178" customWidth="1"/>
    <col min="14354" max="14354" width="30.5546875" style="178" customWidth="1"/>
    <col min="14355" max="14601" width="9.109375" style="178"/>
    <col min="14602" max="14602" width="3.33203125" style="178" customWidth="1"/>
    <col min="14603" max="14603" width="38.5546875" style="178" customWidth="1"/>
    <col min="14604" max="14604" width="2.44140625" style="178" customWidth="1"/>
    <col min="14605" max="14605" width="2.5546875" style="178" customWidth="1"/>
    <col min="14606" max="14606" width="11.109375" style="178" bestFit="1" customWidth="1"/>
    <col min="14607" max="14607" width="1.88671875" style="178" customWidth="1"/>
    <col min="14608" max="14608" width="9.109375" style="178"/>
    <col min="14609" max="14609" width="2.33203125" style="178" customWidth="1"/>
    <col min="14610" max="14610" width="30.5546875" style="178" customWidth="1"/>
    <col min="14611" max="14857" width="9.109375" style="178"/>
    <col min="14858" max="14858" width="3.33203125" style="178" customWidth="1"/>
    <col min="14859" max="14859" width="38.5546875" style="178" customWidth="1"/>
    <col min="14860" max="14860" width="2.44140625" style="178" customWidth="1"/>
    <col min="14861" max="14861" width="2.5546875" style="178" customWidth="1"/>
    <col min="14862" max="14862" width="11.109375" style="178" bestFit="1" customWidth="1"/>
    <col min="14863" max="14863" width="1.88671875" style="178" customWidth="1"/>
    <col min="14864" max="14864" width="9.109375" style="178"/>
    <col min="14865" max="14865" width="2.33203125" style="178" customWidth="1"/>
    <col min="14866" max="14866" width="30.5546875" style="178" customWidth="1"/>
    <col min="14867" max="15113" width="9.109375" style="178"/>
    <col min="15114" max="15114" width="3.33203125" style="178" customWidth="1"/>
    <col min="15115" max="15115" width="38.5546875" style="178" customWidth="1"/>
    <col min="15116" max="15116" width="2.44140625" style="178" customWidth="1"/>
    <col min="15117" max="15117" width="2.5546875" style="178" customWidth="1"/>
    <col min="15118" max="15118" width="11.109375" style="178" bestFit="1" customWidth="1"/>
    <col min="15119" max="15119" width="1.88671875" style="178" customWidth="1"/>
    <col min="15120" max="15120" width="9.109375" style="178"/>
    <col min="15121" max="15121" width="2.33203125" style="178" customWidth="1"/>
    <col min="15122" max="15122" width="30.5546875" style="178" customWidth="1"/>
    <col min="15123" max="15369" width="9.109375" style="178"/>
    <col min="15370" max="15370" width="3.33203125" style="178" customWidth="1"/>
    <col min="15371" max="15371" width="38.5546875" style="178" customWidth="1"/>
    <col min="15372" max="15372" width="2.44140625" style="178" customWidth="1"/>
    <col min="15373" max="15373" width="2.5546875" style="178" customWidth="1"/>
    <col min="15374" max="15374" width="11.109375" style="178" bestFit="1" customWidth="1"/>
    <col min="15375" max="15375" width="1.88671875" style="178" customWidth="1"/>
    <col min="15376" max="15376" width="9.109375" style="178"/>
    <col min="15377" max="15377" width="2.33203125" style="178" customWidth="1"/>
    <col min="15378" max="15378" width="30.5546875" style="178" customWidth="1"/>
    <col min="15379" max="15625" width="9.109375" style="178"/>
    <col min="15626" max="15626" width="3.33203125" style="178" customWidth="1"/>
    <col min="15627" max="15627" width="38.5546875" style="178" customWidth="1"/>
    <col min="15628" max="15628" width="2.44140625" style="178" customWidth="1"/>
    <col min="15629" max="15629" width="2.5546875" style="178" customWidth="1"/>
    <col min="15630" max="15630" width="11.109375" style="178" bestFit="1" customWidth="1"/>
    <col min="15631" max="15631" width="1.88671875" style="178" customWidth="1"/>
    <col min="15632" max="15632" width="9.109375" style="178"/>
    <col min="15633" max="15633" width="2.33203125" style="178" customWidth="1"/>
    <col min="15634" max="15634" width="30.5546875" style="178" customWidth="1"/>
    <col min="15635" max="15881" width="9.109375" style="178"/>
    <col min="15882" max="15882" width="3.33203125" style="178" customWidth="1"/>
    <col min="15883" max="15883" width="38.5546875" style="178" customWidth="1"/>
    <col min="15884" max="15884" width="2.44140625" style="178" customWidth="1"/>
    <col min="15885" max="15885" width="2.5546875" style="178" customWidth="1"/>
    <col min="15886" max="15886" width="11.109375" style="178" bestFit="1" customWidth="1"/>
    <col min="15887" max="15887" width="1.88671875" style="178" customWidth="1"/>
    <col min="15888" max="15888" width="9.109375" style="178"/>
    <col min="15889" max="15889" width="2.33203125" style="178" customWidth="1"/>
    <col min="15890" max="15890" width="30.5546875" style="178" customWidth="1"/>
    <col min="15891" max="16137" width="9.109375" style="178"/>
    <col min="16138" max="16138" width="3.33203125" style="178" customWidth="1"/>
    <col min="16139" max="16139" width="38.5546875" style="178" customWidth="1"/>
    <col min="16140" max="16140" width="2.44140625" style="178" customWidth="1"/>
    <col min="16141" max="16141" width="2.5546875" style="178" customWidth="1"/>
    <col min="16142" max="16142" width="11.109375" style="178" bestFit="1" customWidth="1"/>
    <col min="16143" max="16143" width="1.88671875" style="178" customWidth="1"/>
    <col min="16144" max="16144" width="9.109375" style="178"/>
    <col min="16145" max="16145" width="2.33203125" style="178" customWidth="1"/>
    <col min="16146" max="16146" width="30.5546875" style="178" customWidth="1"/>
    <col min="16147" max="16384" width="9.109375" style="178"/>
  </cols>
  <sheetData>
    <row r="1" spans="1:31">
      <c r="A1" s="225"/>
      <c r="B1" s="226"/>
      <c r="C1" s="226"/>
      <c r="D1" s="226"/>
      <c r="E1" s="226"/>
      <c r="F1" s="226"/>
      <c r="G1" s="226"/>
      <c r="H1" s="226"/>
      <c r="I1" s="226"/>
      <c r="J1" s="226"/>
      <c r="K1" s="226"/>
      <c r="L1" s="226"/>
      <c r="M1" s="226"/>
      <c r="N1" s="226"/>
      <c r="O1" s="226"/>
      <c r="P1" s="226"/>
      <c r="Q1" s="226"/>
      <c r="R1" s="226"/>
      <c r="S1" s="226"/>
      <c r="T1" s="227"/>
    </row>
    <row r="2" spans="1:31">
      <c r="A2" s="228"/>
      <c r="B2" s="229"/>
      <c r="C2" s="229"/>
      <c r="D2" s="229"/>
      <c r="E2" s="229"/>
      <c r="F2" s="229"/>
      <c r="G2" s="229"/>
      <c r="H2" s="229"/>
      <c r="I2" s="229"/>
      <c r="J2" s="229"/>
      <c r="K2" s="229"/>
      <c r="L2" s="229"/>
      <c r="M2" s="229"/>
      <c r="N2" s="229"/>
      <c r="O2" s="229"/>
      <c r="P2" s="229"/>
      <c r="Q2" s="229"/>
      <c r="R2" s="229"/>
      <c r="S2" s="229"/>
      <c r="T2" s="230"/>
    </row>
    <row r="3" spans="1:31" ht="21">
      <c r="A3" s="233" t="s">
        <v>1455</v>
      </c>
      <c r="B3" s="229"/>
      <c r="C3" s="229"/>
      <c r="D3" s="229"/>
      <c r="E3" s="234"/>
      <c r="F3" s="234"/>
      <c r="G3" s="234"/>
      <c r="H3" s="234"/>
      <c r="I3" s="229"/>
      <c r="J3" s="229"/>
      <c r="K3" s="229"/>
      <c r="L3" s="229"/>
      <c r="M3" s="229"/>
      <c r="N3" s="229"/>
      <c r="O3" s="229"/>
      <c r="P3" s="229"/>
      <c r="Q3" s="229"/>
      <c r="R3" s="229"/>
      <c r="S3" s="229"/>
      <c r="T3" s="235"/>
    </row>
    <row r="4" spans="1:31" ht="18.600000000000001" thickBot="1">
      <c r="A4" s="398" t="s">
        <v>1456</v>
      </c>
      <c r="B4" s="180"/>
      <c r="C4" s="180"/>
      <c r="D4" s="180"/>
      <c r="E4" s="180"/>
      <c r="F4" s="180"/>
      <c r="G4" s="180"/>
      <c r="H4" s="180"/>
      <c r="I4" s="180"/>
      <c r="J4" s="180"/>
      <c r="K4" s="180"/>
      <c r="L4" s="180"/>
      <c r="M4" s="180"/>
      <c r="N4" s="180"/>
      <c r="O4" s="180"/>
      <c r="P4" s="180"/>
      <c r="Q4" s="180"/>
      <c r="R4" s="180"/>
      <c r="S4" s="180"/>
      <c r="T4" s="180"/>
    </row>
    <row r="5" spans="1:31" ht="18">
      <c r="A5" s="398"/>
      <c r="B5" s="586" t="s">
        <v>1465</v>
      </c>
      <c r="C5" s="180"/>
      <c r="D5" s="180"/>
      <c r="E5" s="424">
        <v>41836</v>
      </c>
      <c r="F5" s="425"/>
      <c r="G5" s="425"/>
      <c r="H5" s="426"/>
      <c r="I5" s="180"/>
      <c r="J5" s="180"/>
      <c r="K5" s="180"/>
      <c r="L5" s="180"/>
      <c r="M5" s="180"/>
      <c r="N5" s="180"/>
      <c r="O5" s="180"/>
      <c r="P5" s="180"/>
      <c r="Q5" s="180"/>
      <c r="R5" s="180"/>
      <c r="S5" s="180"/>
      <c r="T5" s="180"/>
      <c r="Y5" s="178" t="str">
        <f>'Calculation&amp;Summary'!D2</f>
        <v>1. Crop and animal production</v>
      </c>
      <c r="AE5" s="178" t="str">
        <f>'[12]Calculation&amp;Summary'!BI39</f>
        <v>Atlantic</v>
      </c>
    </row>
    <row r="6" spans="1:31">
      <c r="A6" s="224"/>
      <c r="B6" s="587" t="s">
        <v>1295</v>
      </c>
      <c r="C6" s="180"/>
      <c r="D6" s="180"/>
      <c r="E6" s="427" t="s">
        <v>1680</v>
      </c>
      <c r="F6" s="428"/>
      <c r="G6" s="428"/>
      <c r="H6" s="429"/>
      <c r="I6" s="180"/>
      <c r="J6" s="180"/>
      <c r="K6" s="180"/>
      <c r="L6" s="180"/>
      <c r="M6" s="180"/>
      <c r="N6" s="180"/>
      <c r="O6" s="180"/>
      <c r="P6" s="180"/>
      <c r="Q6" s="180"/>
      <c r="R6" s="180"/>
      <c r="S6" s="180"/>
      <c r="T6" s="180"/>
      <c r="Y6" s="178" t="str">
        <f>'Calculation&amp;Summary'!D3</f>
        <v>2. Forestry, fishing, and related activities</v>
      </c>
      <c r="AE6" s="178" t="str">
        <f>'[12]Calculation&amp;Summary'!BI40</f>
        <v>Bergen</v>
      </c>
    </row>
    <row r="7" spans="1:31">
      <c r="A7" s="224"/>
      <c r="B7" s="587" t="s">
        <v>1296</v>
      </c>
      <c r="C7" s="180"/>
      <c r="D7" s="180"/>
      <c r="E7" s="427" t="s">
        <v>0</v>
      </c>
      <c r="F7" s="428"/>
      <c r="G7" s="428"/>
      <c r="H7" s="429"/>
      <c r="I7" s="180"/>
      <c r="J7" s="180"/>
      <c r="K7" s="180"/>
      <c r="L7" s="180"/>
      <c r="M7" s="180"/>
      <c r="N7" s="180"/>
      <c r="O7" s="180"/>
      <c r="P7" s="180"/>
      <c r="Q7" s="180"/>
      <c r="R7" s="180"/>
      <c r="S7" s="180"/>
      <c r="T7" s="180"/>
      <c r="Y7" s="178" t="str">
        <f>'Calculation&amp;Summary'!D4</f>
        <v>3. Oil and gas extraction</v>
      </c>
      <c r="AE7" s="178" t="str">
        <f>'[12]Calculation&amp;Summary'!BI41</f>
        <v>Burlington</v>
      </c>
    </row>
    <row r="8" spans="1:31">
      <c r="A8" s="224"/>
      <c r="B8" s="587" t="s">
        <v>1450</v>
      </c>
      <c r="C8" s="180"/>
      <c r="D8" s="180"/>
      <c r="E8" s="509" t="s">
        <v>357</v>
      </c>
      <c r="F8" s="510"/>
      <c r="G8" s="510"/>
      <c r="H8" s="511"/>
      <c r="I8" s="180"/>
      <c r="J8" s="180"/>
      <c r="K8" s="180"/>
      <c r="L8" s="180"/>
      <c r="M8" s="180"/>
      <c r="N8" s="180"/>
      <c r="O8" s="180"/>
      <c r="P8" s="180"/>
      <c r="Q8" s="180"/>
      <c r="R8" s="180"/>
      <c r="S8" s="180"/>
      <c r="T8" s="180"/>
      <c r="Y8" s="178" t="str">
        <f>'Calculation&amp;Summary'!D5</f>
        <v>4. Mining, except oil and gas</v>
      </c>
      <c r="AE8" s="178" t="str">
        <f>'[12]Calculation&amp;Summary'!BI42</f>
        <v>Camden</v>
      </c>
    </row>
    <row r="9" spans="1:31" ht="15" thickBot="1">
      <c r="A9" s="224"/>
      <c r="B9" s="587" t="s">
        <v>34</v>
      </c>
      <c r="C9" s="180"/>
      <c r="D9" s="180"/>
      <c r="E9" s="531" t="s">
        <v>10</v>
      </c>
      <c r="F9" s="578"/>
      <c r="G9" s="579"/>
      <c r="H9" s="580"/>
      <c r="I9" s="180"/>
      <c r="J9" s="180"/>
      <c r="K9" s="180"/>
      <c r="L9" s="180"/>
      <c r="M9" s="180"/>
      <c r="N9" s="180"/>
      <c r="O9" s="180"/>
      <c r="P9" s="180"/>
      <c r="Q9" s="180"/>
      <c r="R9" s="180"/>
      <c r="S9" s="180"/>
      <c r="T9" s="180"/>
      <c r="Y9" s="178" t="str">
        <f>'Calculation&amp;Summary'!D6</f>
        <v>5. Support activities for mining</v>
      </c>
      <c r="AE9" s="178" t="str">
        <f>'[12]Calculation&amp;Summary'!BI43</f>
        <v>Cape May</v>
      </c>
    </row>
    <row r="10" spans="1:31">
      <c r="A10" s="224"/>
      <c r="B10" s="231"/>
      <c r="C10" s="180"/>
      <c r="D10" s="180"/>
      <c r="E10" s="232"/>
      <c r="F10" s="232"/>
      <c r="G10" s="232"/>
      <c r="H10" s="232"/>
      <c r="I10" s="180"/>
      <c r="J10" s="180"/>
      <c r="K10" s="180"/>
      <c r="L10" s="180"/>
      <c r="M10" s="180"/>
      <c r="N10" s="180"/>
      <c r="O10" s="180"/>
      <c r="P10" s="180"/>
      <c r="Q10" s="180"/>
      <c r="R10" s="180"/>
      <c r="S10" s="180"/>
      <c r="T10" s="180"/>
      <c r="Y10" s="178" t="str">
        <f>'Calculation&amp;Summary'!D7</f>
        <v>6. Utilities*</v>
      </c>
      <c r="AE10" s="178" t="str">
        <f>'[12]Calculation&amp;Summary'!BI44</f>
        <v>Cumberland</v>
      </c>
    </row>
    <row r="11" spans="1:31" ht="18">
      <c r="A11" s="398" t="s">
        <v>1457</v>
      </c>
      <c r="B11" s="180"/>
      <c r="C11" s="180"/>
      <c r="D11" s="180"/>
      <c r="E11" s="180"/>
      <c r="F11" s="180"/>
      <c r="G11" s="180"/>
      <c r="H11" s="180"/>
      <c r="I11" s="180"/>
      <c r="J11" s="180"/>
      <c r="K11" s="180"/>
      <c r="L11" s="180"/>
      <c r="M11" s="180"/>
      <c r="N11" s="180"/>
      <c r="O11" s="180"/>
      <c r="P11" s="180"/>
      <c r="Q11" s="180"/>
      <c r="R11" s="180"/>
      <c r="S11" s="180"/>
      <c r="T11" s="180"/>
      <c r="Y11" s="178" t="str">
        <f>'Calculation&amp;Summary'!D8</f>
        <v>7. Construction</v>
      </c>
      <c r="AE11" s="178" t="str">
        <f>'[12]Calculation&amp;Summary'!BI45</f>
        <v>Essex</v>
      </c>
    </row>
    <row r="12" spans="1:31" ht="15" thickBot="1">
      <c r="A12" s="224"/>
      <c r="B12" s="180"/>
      <c r="C12" s="180"/>
      <c r="D12" s="180"/>
      <c r="E12" s="401" t="s">
        <v>1270</v>
      </c>
      <c r="F12" s="401"/>
      <c r="G12" s="401"/>
      <c r="H12" s="401"/>
      <c r="I12" s="179"/>
      <c r="J12" s="401" t="s">
        <v>1271</v>
      </c>
      <c r="K12" s="401"/>
      <c r="L12" s="401"/>
      <c r="M12" s="401"/>
      <c r="N12" s="180"/>
      <c r="O12" s="180"/>
      <c r="P12" s="180"/>
      <c r="Q12" s="180"/>
      <c r="R12" s="180"/>
      <c r="S12" s="180"/>
      <c r="T12" s="180"/>
      <c r="Y12" s="178" t="str">
        <f>'Calculation&amp;Summary'!D9</f>
        <v>8. Wood product manufacturing</v>
      </c>
      <c r="AE12" s="178" t="str">
        <f>'[12]Calculation&amp;Summary'!BI46</f>
        <v>Gloucester</v>
      </c>
    </row>
    <row r="13" spans="1:31" ht="54" customHeight="1" thickBot="1">
      <c r="A13" s="385"/>
      <c r="B13" s="588" t="s">
        <v>1458</v>
      </c>
      <c r="C13" s="180"/>
      <c r="D13" s="180"/>
      <c r="E13" s="460" t="s">
        <v>1335</v>
      </c>
      <c r="F13" s="455"/>
      <c r="G13" s="455"/>
      <c r="H13" s="456"/>
      <c r="I13" s="391"/>
      <c r="J13" s="460"/>
      <c r="K13" s="455"/>
      <c r="L13" s="455"/>
      <c r="M13" s="456"/>
      <c r="N13" s="386"/>
      <c r="O13" s="525" t="str">
        <f>IF(E13="x","Use 100% of Captial Investment and Skip Questions #2 &amp; #3; NET BENEFIT ANALYSIS ONLY",IF(J13="x", "Answer Next Question",""))</f>
        <v>Use 100% of Captial Investment and Skip Questions #2 &amp; #3; NET BENEFIT ANALYSIS ONLY</v>
      </c>
      <c r="P13" s="418"/>
      <c r="Q13" s="418"/>
      <c r="R13" s="418"/>
      <c r="S13" s="386"/>
      <c r="T13" s="180"/>
      <c r="Y13" s="178" t="str">
        <f>'Calculation&amp;Summary'!D10</f>
        <v>9. Nonmetallic mineral product manufacturing</v>
      </c>
      <c r="AE13" s="178" t="str">
        <f>'[12]Calculation&amp;Summary'!BI47</f>
        <v>Hudson</v>
      </c>
    </row>
    <row r="14" spans="1:31">
      <c r="A14" s="387"/>
      <c r="B14" s="386"/>
      <c r="C14" s="180"/>
      <c r="D14" s="180"/>
      <c r="E14" s="392"/>
      <c r="F14" s="392"/>
      <c r="G14" s="392"/>
      <c r="H14" s="392"/>
      <c r="I14" s="392"/>
      <c r="J14" s="392"/>
      <c r="K14" s="392"/>
      <c r="L14" s="392"/>
      <c r="M14" s="392"/>
      <c r="N14" s="386"/>
      <c r="O14" s="393"/>
      <c r="P14" s="393"/>
      <c r="Q14" s="393"/>
      <c r="R14" s="393"/>
      <c r="S14" s="386"/>
      <c r="T14" s="180"/>
      <c r="Y14" s="178" t="str">
        <f>'Calculation&amp;Summary'!D11</f>
        <v>10. Primary metal manufacturing</v>
      </c>
      <c r="AE14" s="178" t="str">
        <f>'[12]Calculation&amp;Summary'!BI48</f>
        <v>Hunterdon</v>
      </c>
    </row>
    <row r="15" spans="1:31" ht="15" thickBot="1">
      <c r="A15" s="387"/>
      <c r="B15" s="386"/>
      <c r="C15" s="180"/>
      <c r="D15" s="180"/>
      <c r="E15" s="404" t="s">
        <v>1270</v>
      </c>
      <c r="F15" s="404"/>
      <c r="G15" s="404"/>
      <c r="H15" s="404"/>
      <c r="I15" s="392"/>
      <c r="J15" s="404" t="s">
        <v>1271</v>
      </c>
      <c r="K15" s="404"/>
      <c r="L15" s="404"/>
      <c r="M15" s="404"/>
      <c r="N15" s="386"/>
      <c r="O15" s="394"/>
      <c r="P15" s="394"/>
      <c r="Q15" s="394"/>
      <c r="R15" s="394"/>
      <c r="S15" s="386"/>
      <c r="T15" s="180"/>
      <c r="Y15" s="178" t="str">
        <f>'Calculation&amp;Summary'!D12</f>
        <v>11. Fabricated metal product manufacturing</v>
      </c>
      <c r="AE15" s="178" t="str">
        <f>'[12]Calculation&amp;Summary'!BI49</f>
        <v>Mercer</v>
      </c>
    </row>
    <row r="16" spans="1:31" ht="28.5" customHeight="1" thickBot="1">
      <c r="A16" s="385"/>
      <c r="B16" s="588" t="s">
        <v>1459</v>
      </c>
      <c r="C16" s="180"/>
      <c r="D16" s="180"/>
      <c r="E16" s="460"/>
      <c r="F16" s="455"/>
      <c r="G16" s="455"/>
      <c r="H16" s="456"/>
      <c r="I16" s="391"/>
      <c r="J16" s="457" t="s">
        <v>1335</v>
      </c>
      <c r="K16" s="458"/>
      <c r="L16" s="458"/>
      <c r="M16" s="459"/>
      <c r="N16" s="386"/>
      <c r="O16" s="525" t="str">
        <f>IF(E16="x","Up to 35% of Total Capital Investment May Be Eligible and Skip Questions #3; No Net Benefit Analysis",IF(J16="x","Answer Next Question",""))</f>
        <v>Answer Next Question</v>
      </c>
      <c r="P16" s="418"/>
      <c r="Q16" s="418"/>
      <c r="R16" s="418"/>
      <c r="S16" s="386"/>
      <c r="T16" s="180"/>
      <c r="Y16" s="178" t="str">
        <f>'Calculation&amp;Summary'!D13</f>
        <v>12. Machinery manufacturing</v>
      </c>
      <c r="AE16" s="178" t="str">
        <f>'[12]Calculation&amp;Summary'!BI50</f>
        <v>Middlesex</v>
      </c>
    </row>
    <row r="17" spans="1:31" ht="15" thickBot="1">
      <c r="A17" s="387"/>
      <c r="B17" s="386"/>
      <c r="C17" s="180"/>
      <c r="D17" s="180"/>
      <c r="E17" s="404" t="s">
        <v>1270</v>
      </c>
      <c r="F17" s="404"/>
      <c r="G17" s="404"/>
      <c r="H17" s="404"/>
      <c r="I17" s="392"/>
      <c r="J17" s="411" t="s">
        <v>1271</v>
      </c>
      <c r="K17" s="411"/>
      <c r="L17" s="411"/>
      <c r="M17" s="411"/>
      <c r="N17" s="386"/>
      <c r="O17" s="394"/>
      <c r="P17" s="394"/>
      <c r="Q17" s="394"/>
      <c r="R17" s="394"/>
      <c r="S17" s="386"/>
      <c r="T17" s="180"/>
      <c r="Y17" s="178" t="str">
        <f>'Calculation&amp;Summary'!D14</f>
        <v>13. Computer and electronic product manufacturing</v>
      </c>
      <c r="AE17" s="178" t="str">
        <f>'[12]Calculation&amp;Summary'!BI51</f>
        <v>Monmouth</v>
      </c>
    </row>
    <row r="18" spans="1:31" ht="15" thickBot="1">
      <c r="A18" s="385"/>
      <c r="B18" s="588" t="s">
        <v>1460</v>
      </c>
      <c r="C18" s="180"/>
      <c r="D18" s="180"/>
      <c r="E18" s="460"/>
      <c r="F18" s="455"/>
      <c r="G18" s="455"/>
      <c r="H18" s="456"/>
      <c r="I18" s="391"/>
      <c r="J18" s="460" t="s">
        <v>1335</v>
      </c>
      <c r="K18" s="528"/>
      <c r="L18" s="528"/>
      <c r="M18" s="529"/>
      <c r="N18" s="386"/>
      <c r="O18" s="538" t="str">
        <f>IF(E18="x","Insert SF Information Below",IF(J18="x","Use 100% of Capital Investment; NET BENEFIT ANALYSIS ONLY",""))</f>
        <v>Use 100% of Capital Investment; NET BENEFIT ANALYSIS ONLY</v>
      </c>
      <c r="P18" s="405"/>
      <c r="Q18" s="405"/>
      <c r="R18" s="405"/>
      <c r="S18" s="386"/>
      <c r="T18" s="180"/>
      <c r="Y18" s="178" t="str">
        <f>'Calculation&amp;Summary'!D15</f>
        <v>14. Electrical equipment and appliance manufacturing</v>
      </c>
      <c r="AE18" s="178" t="str">
        <f>'[12]Calculation&amp;Summary'!BI52</f>
        <v>Morris</v>
      </c>
    </row>
    <row r="19" spans="1:31">
      <c r="A19" s="387"/>
      <c r="B19" s="386"/>
      <c r="C19" s="180"/>
      <c r="D19" s="180"/>
      <c r="E19" s="386"/>
      <c r="F19" s="386"/>
      <c r="G19" s="386"/>
      <c r="H19" s="386"/>
      <c r="I19" s="386"/>
      <c r="J19" s="386"/>
      <c r="K19" s="386"/>
      <c r="L19" s="386"/>
      <c r="M19" s="386"/>
      <c r="N19" s="386"/>
      <c r="O19" s="394"/>
      <c r="P19" s="394"/>
      <c r="Q19" s="394"/>
      <c r="R19" s="394"/>
      <c r="S19" s="386"/>
      <c r="T19" s="180"/>
      <c r="Y19" s="178" t="str">
        <f>'Calculation&amp;Summary'!D16</f>
        <v>15. Motor vehicle, body, trailer, and parts manufacturing</v>
      </c>
      <c r="AE19" s="178" t="str">
        <f>'[12]Calculation&amp;Summary'!BI53</f>
        <v>Ocean</v>
      </c>
    </row>
    <row r="20" spans="1:31" ht="15" thickBot="1">
      <c r="A20" s="385"/>
      <c r="B20" s="589" t="s">
        <v>1461</v>
      </c>
      <c r="C20" s="180"/>
      <c r="D20" s="180"/>
      <c r="E20" s="404" t="s">
        <v>1272</v>
      </c>
      <c r="F20" s="404"/>
      <c r="G20" s="404"/>
      <c r="H20" s="404"/>
      <c r="I20" s="386"/>
      <c r="J20" s="406" t="s">
        <v>1454</v>
      </c>
      <c r="K20" s="406"/>
      <c r="L20" s="406"/>
      <c r="M20" s="406"/>
      <c r="N20" s="386"/>
      <c r="O20" s="394"/>
      <c r="P20" s="394"/>
      <c r="Q20" s="394"/>
      <c r="R20" s="394"/>
      <c r="S20" s="386"/>
      <c r="T20" s="180"/>
      <c r="Y20" s="178" t="str">
        <f>'Calculation&amp;Summary'!D17</f>
        <v>16. Other transportation equipment manufacturing</v>
      </c>
      <c r="AE20" s="178" t="str">
        <f>'[12]Calculation&amp;Summary'!BI54</f>
        <v>Passaic</v>
      </c>
    </row>
    <row r="21" spans="1:31">
      <c r="A21" s="387"/>
      <c r="B21" s="590" t="s">
        <v>1664</v>
      </c>
      <c r="C21" s="180"/>
      <c r="D21" s="180"/>
      <c r="E21" s="422">
        <v>50639</v>
      </c>
      <c r="F21" s="430"/>
      <c r="G21" s="430"/>
      <c r="H21" s="431"/>
      <c r="I21" s="386"/>
      <c r="J21" s="506">
        <f>IF(+E21=0,0,E21/E24)</f>
        <v>1</v>
      </c>
      <c r="K21" s="407"/>
      <c r="L21" s="407"/>
      <c r="M21" s="408"/>
      <c r="N21" s="386"/>
      <c r="O21" s="394"/>
      <c r="P21" s="394"/>
      <c r="Q21" s="394"/>
      <c r="R21" s="394"/>
      <c r="S21" s="386"/>
      <c r="T21" s="180"/>
      <c r="Y21" s="178" t="str">
        <f>'Calculation&amp;Summary'!D18</f>
        <v>17. Furniture and related product manufacturing</v>
      </c>
      <c r="AE21" s="178" t="str">
        <f>'[12]Calculation&amp;Summary'!BI55</f>
        <v>Salem</v>
      </c>
    </row>
    <row r="22" spans="1:31">
      <c r="A22" s="387"/>
      <c r="B22" s="590" t="s">
        <v>1665</v>
      </c>
      <c r="C22" s="180"/>
      <c r="D22" s="180"/>
      <c r="E22" s="423">
        <v>0</v>
      </c>
      <c r="F22" s="432"/>
      <c r="G22" s="432"/>
      <c r="H22" s="433"/>
      <c r="I22" s="386"/>
      <c r="J22" s="507">
        <f>IF(+E22=0,0,E22/E24)</f>
        <v>0</v>
      </c>
      <c r="K22" s="409"/>
      <c r="L22" s="409"/>
      <c r="M22" s="410"/>
      <c r="N22" s="386"/>
      <c r="O22" s="394"/>
      <c r="P22" s="394"/>
      <c r="Q22" s="394"/>
      <c r="R22" s="394"/>
      <c r="S22" s="386"/>
      <c r="T22" s="180"/>
      <c r="Y22" s="178" t="str">
        <f>'Calculation&amp;Summary'!D19</f>
        <v>18. Miscellaneous manufacturing</v>
      </c>
      <c r="AE22" s="178" t="str">
        <f>'[12]Calculation&amp;Summary'!BI56</f>
        <v>Somerset</v>
      </c>
    </row>
    <row r="23" spans="1:31">
      <c r="A23" s="387"/>
      <c r="B23" s="591" t="s">
        <v>1666</v>
      </c>
      <c r="C23" s="180"/>
      <c r="D23" s="180"/>
      <c r="E23" s="423">
        <v>0</v>
      </c>
      <c r="F23" s="432"/>
      <c r="G23" s="432"/>
      <c r="H23" s="433"/>
      <c r="I23" s="386"/>
      <c r="J23" s="507">
        <f>IF(+E23=0,0,E23/E24)</f>
        <v>0</v>
      </c>
      <c r="K23" s="409"/>
      <c r="L23" s="409"/>
      <c r="M23" s="410"/>
      <c r="N23" s="386"/>
      <c r="O23" s="394"/>
      <c r="P23" s="394"/>
      <c r="Q23" s="394"/>
      <c r="R23" s="394"/>
      <c r="S23" s="386"/>
      <c r="T23" s="180"/>
      <c r="Y23" s="178" t="str">
        <f>'Calculation&amp;Summary'!D20</f>
        <v>19. Food, beverage, and tobacco product manufacturing</v>
      </c>
      <c r="AE23" s="178" t="str">
        <f>'[12]Calculation&amp;Summary'!BI57</f>
        <v>Sussex</v>
      </c>
    </row>
    <row r="24" spans="1:31" ht="15" thickBot="1">
      <c r="A24" s="389"/>
      <c r="B24" s="592" t="s">
        <v>1273</v>
      </c>
      <c r="C24" s="180"/>
      <c r="D24" s="180"/>
      <c r="E24" s="496">
        <f>SUM(E21:E23)</f>
        <v>50639</v>
      </c>
      <c r="F24" s="434"/>
      <c r="G24" s="434"/>
      <c r="H24" s="435"/>
      <c r="I24" s="386"/>
      <c r="J24" s="508">
        <f>IF(+E24=0,0,E24/E24)</f>
        <v>1</v>
      </c>
      <c r="K24" s="497"/>
      <c r="L24" s="497"/>
      <c r="M24" s="498"/>
      <c r="N24" s="386"/>
      <c r="O24" s="394"/>
      <c r="P24" s="394"/>
      <c r="Q24" s="394"/>
      <c r="R24" s="394"/>
      <c r="S24" s="386"/>
      <c r="T24" s="180"/>
      <c r="Y24" s="178" t="str">
        <f>'Calculation&amp;Summary'!D21</f>
        <v>20. Textile and textile product mills</v>
      </c>
      <c r="AE24" s="178" t="str">
        <f>'[12]Calculation&amp;Summary'!BI58</f>
        <v>Union</v>
      </c>
    </row>
    <row r="25" spans="1:31">
      <c r="A25" s="389"/>
      <c r="B25" s="388"/>
      <c r="C25" s="180"/>
      <c r="D25" s="180"/>
      <c r="E25" s="395"/>
      <c r="F25" s="395"/>
      <c r="G25" s="395"/>
      <c r="H25" s="395"/>
      <c r="I25" s="386"/>
      <c r="J25" s="386"/>
      <c r="K25" s="386"/>
      <c r="L25" s="386"/>
      <c r="M25" s="386"/>
      <c r="N25" s="386"/>
      <c r="O25" s="394"/>
      <c r="P25" s="394"/>
      <c r="Q25" s="394"/>
      <c r="R25" s="394"/>
      <c r="S25" s="386"/>
      <c r="T25" s="180"/>
      <c r="Y25" s="178" t="str">
        <f>'Calculation&amp;Summary'!D22</f>
        <v>21. Apparel, leather, and allied product manufacturing</v>
      </c>
      <c r="AE25" s="178" t="str">
        <f>'[12]Calculation&amp;Summary'!BI59</f>
        <v>Warren</v>
      </c>
    </row>
    <row r="26" spans="1:31" ht="28.8">
      <c r="A26" s="389"/>
      <c r="B26" s="593" t="s">
        <v>1500</v>
      </c>
      <c r="C26" s="180"/>
      <c r="D26" s="180"/>
      <c r="E26" s="405" t="str">
        <f>IF(E24=0,"",IF(J21&lt;50%,"YES","NO"))</f>
        <v>NO</v>
      </c>
      <c r="F26" s="405"/>
      <c r="G26" s="405"/>
      <c r="H26" s="405"/>
      <c r="I26" s="386"/>
      <c r="J26" s="393"/>
      <c r="K26" s="386"/>
      <c r="L26" s="386"/>
      <c r="M26" s="386"/>
      <c r="N26" s="386"/>
      <c r="O26" s="525" t="str">
        <f>IF(E26="","",IF(E26="No","Use 100% of Eligible Capital Investment", "35% of Capital Investment May be Eligible Skip Net Benefit Analysis; GAP ANALYSIS ONLY"))</f>
        <v>Use 100% of Eligible Capital Investment</v>
      </c>
      <c r="P26" s="418"/>
      <c r="Q26" s="418"/>
      <c r="R26" s="418"/>
      <c r="S26" s="386"/>
      <c r="T26" s="180"/>
      <c r="Y26" s="178" t="str">
        <f>'Calculation&amp;Summary'!D23</f>
        <v>22. Paper manufacturing</v>
      </c>
    </row>
    <row r="27" spans="1:31" ht="31.5" customHeight="1">
      <c r="A27" s="389"/>
      <c r="B27" s="386"/>
      <c r="C27" s="180"/>
      <c r="D27" s="180"/>
      <c r="E27" s="386"/>
      <c r="F27" s="386"/>
      <c r="G27" s="386"/>
      <c r="H27" s="386"/>
      <c r="I27" s="386"/>
      <c r="J27" s="386"/>
      <c r="K27" s="386"/>
      <c r="L27" s="386"/>
      <c r="M27" s="386"/>
      <c r="N27" s="386"/>
      <c r="O27" s="394"/>
      <c r="P27" s="394"/>
      <c r="Q27" s="394"/>
      <c r="R27" s="394"/>
      <c r="S27" s="386"/>
      <c r="T27" s="180"/>
      <c r="Y27" s="178" t="str">
        <f>'Calculation&amp;Summary'!D24</f>
        <v>23. Printing and related support activities</v>
      </c>
    </row>
    <row r="28" spans="1:31" ht="14.25" customHeight="1" thickBot="1">
      <c r="A28" s="398" t="s">
        <v>1463</v>
      </c>
      <c r="B28" s="386"/>
      <c r="C28" s="180"/>
      <c r="D28" s="180"/>
      <c r="E28" s="386"/>
      <c r="F28" s="386"/>
      <c r="G28" s="386"/>
      <c r="H28" s="386"/>
      <c r="I28" s="386"/>
      <c r="J28" s="386"/>
      <c r="K28" s="386"/>
      <c r="L28" s="386"/>
      <c r="M28" s="386"/>
      <c r="N28" s="386"/>
      <c r="O28" s="386"/>
      <c r="P28" s="386"/>
      <c r="Q28" s="386"/>
      <c r="R28" s="386"/>
      <c r="S28" s="386"/>
      <c r="T28" s="180"/>
      <c r="Y28" s="178" t="str">
        <f>'Calculation&amp;Summary'!D25</f>
        <v>24. Petroleum and coal products manufacturing</v>
      </c>
    </row>
    <row r="29" spans="1:31">
      <c r="A29" s="389"/>
      <c r="B29" s="594" t="s">
        <v>1297</v>
      </c>
      <c r="C29" s="596"/>
      <c r="D29" s="180"/>
      <c r="E29" s="495" t="s">
        <v>1649</v>
      </c>
      <c r="F29" s="572"/>
      <c r="G29" s="573"/>
      <c r="H29" s="574"/>
      <c r="I29" s="396"/>
      <c r="J29" s="495" t="s">
        <v>1649</v>
      </c>
      <c r="K29" s="572"/>
      <c r="L29" s="573"/>
      <c r="M29" s="574"/>
      <c r="N29" s="396"/>
      <c r="O29" s="495" t="s">
        <v>1649</v>
      </c>
      <c r="P29" s="572"/>
      <c r="Q29" s="573"/>
      <c r="R29" s="574"/>
      <c r="S29" s="521"/>
      <c r="T29" s="180"/>
      <c r="Y29" s="178" t="str">
        <f>'Calculation&amp;Summary'!D26</f>
        <v>25. Chemical manufacturing</v>
      </c>
    </row>
    <row r="30" spans="1:31">
      <c r="A30" s="389"/>
      <c r="B30" s="588" t="s">
        <v>1451</v>
      </c>
      <c r="C30" s="596"/>
      <c r="D30" s="180"/>
      <c r="E30" s="577" t="s">
        <v>1664</v>
      </c>
      <c r="F30" s="575"/>
      <c r="G30" s="575"/>
      <c r="H30" s="576"/>
      <c r="I30" s="384"/>
      <c r="J30" s="577" t="s">
        <v>1665</v>
      </c>
      <c r="K30" s="575"/>
      <c r="L30" s="575"/>
      <c r="M30" s="576"/>
      <c r="N30" s="384"/>
      <c r="O30" s="577" t="s">
        <v>1666</v>
      </c>
      <c r="P30" s="575"/>
      <c r="Q30" s="575"/>
      <c r="R30" s="576"/>
      <c r="S30" s="522"/>
      <c r="T30" s="180"/>
      <c r="Y30" s="178" t="str">
        <f>'Calculation&amp;Summary'!D27</f>
        <v>26. Plastics and rubber products manufacturing</v>
      </c>
    </row>
    <row r="31" spans="1:31" ht="15" thickBot="1">
      <c r="A31" s="389"/>
      <c r="B31" s="595" t="s">
        <v>1467</v>
      </c>
      <c r="C31" s="596"/>
      <c r="D31" s="180"/>
      <c r="E31" s="492">
        <f>VLOOKUP(E30,$B$21:$E$23,4, FALSE)</f>
        <v>50639</v>
      </c>
      <c r="F31" s="493"/>
      <c r="G31" s="493"/>
      <c r="H31" s="493"/>
      <c r="I31" s="384"/>
      <c r="J31" s="492">
        <f>VLOOKUP(J30,$B$21:$E$23,4,FALSE)</f>
        <v>0</v>
      </c>
      <c r="K31" s="493"/>
      <c r="L31" s="493"/>
      <c r="M31" s="493"/>
      <c r="N31" s="384"/>
      <c r="O31" s="492">
        <f>VLOOKUP(O30,$B$21:$E$23,4,FALSE)</f>
        <v>0</v>
      </c>
      <c r="P31" s="494"/>
      <c r="Q31" s="494"/>
      <c r="R31" s="494"/>
      <c r="S31" s="522"/>
      <c r="T31" s="180"/>
      <c r="Y31" s="178" t="str">
        <f>'Calculation&amp;Summary'!D28</f>
        <v>27. Wholesale trade</v>
      </c>
    </row>
    <row r="32" spans="1:31">
      <c r="A32" s="389"/>
      <c r="B32" s="390"/>
      <c r="C32" s="180"/>
      <c r="D32" s="180"/>
      <c r="E32" s="179"/>
      <c r="F32" s="179"/>
      <c r="G32" s="179"/>
      <c r="H32" s="179"/>
      <c r="I32" s="179"/>
      <c r="J32" s="179"/>
      <c r="K32" s="179"/>
      <c r="L32" s="179"/>
      <c r="M32" s="179"/>
      <c r="N32" s="179"/>
      <c r="O32" s="179"/>
      <c r="P32" s="179"/>
      <c r="Q32" s="179"/>
      <c r="R32" s="179"/>
      <c r="S32" s="179"/>
      <c r="T32" s="180"/>
      <c r="Y32" s="178" t="str">
        <f>'Calculation&amp;Summary'!D29</f>
        <v>28. Retail trade</v>
      </c>
    </row>
    <row r="33" spans="1:25">
      <c r="A33" s="389"/>
      <c r="B33" s="390"/>
      <c r="C33" s="180"/>
      <c r="D33" s="180"/>
      <c r="E33" s="400" t="s">
        <v>1466</v>
      </c>
      <c r="F33" s="400"/>
      <c r="G33" s="400" t="s">
        <v>1274</v>
      </c>
      <c r="H33" s="400"/>
      <c r="I33" s="179"/>
      <c r="J33" s="400" t="s">
        <v>1466</v>
      </c>
      <c r="K33" s="400"/>
      <c r="L33" s="400" t="s">
        <v>1274</v>
      </c>
      <c r="M33" s="400"/>
      <c r="N33" s="179"/>
      <c r="O33" s="400" t="s">
        <v>1466</v>
      </c>
      <c r="P33" s="400"/>
      <c r="Q33" s="400" t="s">
        <v>1274</v>
      </c>
      <c r="R33" s="400"/>
      <c r="S33" s="179"/>
      <c r="T33" s="180"/>
      <c r="Y33" s="178" t="str">
        <f>'Calculation&amp;Summary'!D30</f>
        <v>29. Air transportation</v>
      </c>
    </row>
    <row r="34" spans="1:25">
      <c r="A34" s="389"/>
      <c r="B34" s="390"/>
      <c r="C34" s="180"/>
      <c r="D34" s="180"/>
      <c r="E34" s="399" t="s">
        <v>1245</v>
      </c>
      <c r="F34" s="415" t="s">
        <v>1462</v>
      </c>
      <c r="G34" s="399" t="s">
        <v>1245</v>
      </c>
      <c r="H34" s="399" t="s">
        <v>1462</v>
      </c>
      <c r="I34" s="399"/>
      <c r="J34" s="399" t="s">
        <v>1245</v>
      </c>
      <c r="K34" s="399" t="s">
        <v>1462</v>
      </c>
      <c r="L34" s="399" t="s">
        <v>1245</v>
      </c>
      <c r="M34" s="399" t="s">
        <v>1462</v>
      </c>
      <c r="N34" s="179"/>
      <c r="O34" s="399" t="s">
        <v>1245</v>
      </c>
      <c r="P34" s="399" t="s">
        <v>1462</v>
      </c>
      <c r="Q34" s="399" t="s">
        <v>1245</v>
      </c>
      <c r="R34" s="399" t="s">
        <v>1462</v>
      </c>
      <c r="S34" s="179"/>
      <c r="T34" s="180"/>
      <c r="Y34" s="178" t="str">
        <f>'Calculation&amp;Summary'!D31</f>
        <v>30. Rail transportation</v>
      </c>
    </row>
    <row r="35" spans="1:25">
      <c r="A35" s="389"/>
      <c r="B35" s="597"/>
      <c r="C35" s="180"/>
      <c r="D35" s="412" t="s">
        <v>1464</v>
      </c>
      <c r="E35" s="436"/>
      <c r="F35" s="437"/>
      <c r="G35" s="438">
        <v>250</v>
      </c>
      <c r="H35" s="437">
        <v>98000</v>
      </c>
      <c r="I35" s="416"/>
      <c r="J35" s="438"/>
      <c r="K35" s="437"/>
      <c r="L35" s="438">
        <v>0</v>
      </c>
      <c r="M35" s="437">
        <v>0</v>
      </c>
      <c r="N35" s="604"/>
      <c r="O35" s="438"/>
      <c r="P35" s="437"/>
      <c r="Q35" s="438">
        <v>0</v>
      </c>
      <c r="R35" s="447">
        <v>0</v>
      </c>
      <c r="S35" s="523"/>
      <c r="T35" s="180"/>
      <c r="Y35" s="178" t="str">
        <f>'Calculation&amp;Summary'!D32</f>
        <v>31. Water transportation</v>
      </c>
    </row>
    <row r="36" spans="1:25">
      <c r="A36" s="389"/>
      <c r="B36" s="390"/>
      <c r="C36" s="180"/>
      <c r="D36" s="180">
        <f>YEAR(E5)</f>
        <v>2014</v>
      </c>
      <c r="E36" s="439"/>
      <c r="F36" s="440"/>
      <c r="G36" s="441"/>
      <c r="H36" s="440"/>
      <c r="I36" s="416"/>
      <c r="J36" s="441"/>
      <c r="K36" s="445"/>
      <c r="L36" s="441"/>
      <c r="M36" s="445"/>
      <c r="N36" s="416"/>
      <c r="O36" s="441"/>
      <c r="P36" s="445"/>
      <c r="Q36" s="441"/>
      <c r="R36" s="448"/>
      <c r="S36" s="523"/>
      <c r="T36" s="180"/>
      <c r="Y36" s="178" t="str">
        <f>'Calculation&amp;Summary'!D33</f>
        <v>32. Truck transportation</v>
      </c>
    </row>
    <row r="37" spans="1:25">
      <c r="A37" s="389"/>
      <c r="B37" s="390"/>
      <c r="C37" s="180"/>
      <c r="D37" s="180">
        <f>D36+1</f>
        <v>2015</v>
      </c>
      <c r="E37" s="439"/>
      <c r="F37" s="440"/>
      <c r="G37" s="441"/>
      <c r="H37" s="440"/>
      <c r="I37" s="416"/>
      <c r="J37" s="441"/>
      <c r="K37" s="445"/>
      <c r="L37" s="441"/>
      <c r="M37" s="445"/>
      <c r="N37" s="416"/>
      <c r="O37" s="441"/>
      <c r="P37" s="445"/>
      <c r="Q37" s="441"/>
      <c r="R37" s="448"/>
      <c r="S37" s="523"/>
      <c r="T37" s="180"/>
      <c r="Y37" s="178" t="str">
        <f>'Calculation&amp;Summary'!D34</f>
        <v>33. Transit and ground passenger transportation*</v>
      </c>
    </row>
    <row r="38" spans="1:25">
      <c r="A38" s="389"/>
      <c r="B38" s="386"/>
      <c r="C38" s="180"/>
      <c r="D38" s="180">
        <f t="shared" ref="D38:D56" si="0">D37+1</f>
        <v>2016</v>
      </c>
      <c r="E38" s="439"/>
      <c r="F38" s="440"/>
      <c r="G38" s="441"/>
      <c r="H38" s="440"/>
      <c r="I38" s="417"/>
      <c r="J38" s="441"/>
      <c r="K38" s="445"/>
      <c r="L38" s="441"/>
      <c r="M38" s="445"/>
      <c r="N38" s="417"/>
      <c r="O38" s="441"/>
      <c r="P38" s="445"/>
      <c r="Q38" s="441"/>
      <c r="R38" s="448"/>
      <c r="S38" s="524"/>
      <c r="T38" s="180"/>
      <c r="Y38" s="178" t="str">
        <f>'Calculation&amp;Summary'!D35</f>
        <v>34. Pipeline transportation</v>
      </c>
    </row>
    <row r="39" spans="1:25">
      <c r="A39" s="389"/>
      <c r="B39" s="180"/>
      <c r="C39" s="180"/>
      <c r="D39" s="180">
        <f t="shared" si="0"/>
        <v>2017</v>
      </c>
      <c r="E39" s="439"/>
      <c r="F39" s="440"/>
      <c r="G39" s="441"/>
      <c r="H39" s="440"/>
      <c r="I39" s="417"/>
      <c r="J39" s="441"/>
      <c r="K39" s="445"/>
      <c r="L39" s="441"/>
      <c r="M39" s="445"/>
      <c r="N39" s="417"/>
      <c r="O39" s="441"/>
      <c r="P39" s="445"/>
      <c r="Q39" s="441"/>
      <c r="R39" s="448"/>
      <c r="S39" s="524"/>
      <c r="T39" s="180"/>
      <c r="Y39" s="178" t="str">
        <f>'Calculation&amp;Summary'!D36</f>
        <v>35. Other transportation and support activities*</v>
      </c>
    </row>
    <row r="40" spans="1:25">
      <c r="A40" s="389"/>
      <c r="B40" s="180"/>
      <c r="C40" s="180"/>
      <c r="D40" s="180">
        <f t="shared" si="0"/>
        <v>2018</v>
      </c>
      <c r="E40" s="439"/>
      <c r="F40" s="440"/>
      <c r="G40" s="441"/>
      <c r="H40" s="440"/>
      <c r="I40" s="417"/>
      <c r="J40" s="441"/>
      <c r="K40" s="445"/>
      <c r="L40" s="441"/>
      <c r="M40" s="445"/>
      <c r="N40" s="417"/>
      <c r="O40" s="441"/>
      <c r="P40" s="445"/>
      <c r="Q40" s="441"/>
      <c r="R40" s="448"/>
      <c r="S40" s="524"/>
      <c r="T40" s="180"/>
      <c r="Y40" s="178" t="str">
        <f>'Calculation&amp;Summary'!D37</f>
        <v>36. Warehousing and storage</v>
      </c>
    </row>
    <row r="41" spans="1:25">
      <c r="A41" s="389"/>
      <c r="D41" s="180">
        <f t="shared" si="0"/>
        <v>2019</v>
      </c>
      <c r="E41" s="439"/>
      <c r="F41" s="440"/>
      <c r="G41" s="441"/>
      <c r="H41" s="440"/>
      <c r="I41" s="417"/>
      <c r="J41" s="441"/>
      <c r="K41" s="445"/>
      <c r="L41" s="441"/>
      <c r="M41" s="445"/>
      <c r="N41" s="417"/>
      <c r="O41" s="441"/>
      <c r="P41" s="445"/>
      <c r="Q41" s="441"/>
      <c r="R41" s="448"/>
      <c r="S41" s="524"/>
      <c r="T41" s="180"/>
      <c r="Y41" s="178" t="str">
        <f>'Calculation&amp;Summary'!D38</f>
        <v>37. Publishing industries, except Internet</v>
      </c>
    </row>
    <row r="42" spans="1:25">
      <c r="A42" s="397"/>
      <c r="D42" s="180">
        <f t="shared" si="0"/>
        <v>2020</v>
      </c>
      <c r="E42" s="439"/>
      <c r="F42" s="440"/>
      <c r="G42" s="441"/>
      <c r="H42" s="440"/>
      <c r="I42" s="417"/>
      <c r="J42" s="441"/>
      <c r="K42" s="445"/>
      <c r="L42" s="441"/>
      <c r="M42" s="445"/>
      <c r="N42" s="417"/>
      <c r="O42" s="441"/>
      <c r="P42" s="445"/>
      <c r="Q42" s="441"/>
      <c r="R42" s="448"/>
      <c r="S42" s="524"/>
      <c r="T42" s="180"/>
      <c r="Y42" s="178" t="str">
        <f>'Calculation&amp;Summary'!D39</f>
        <v>38. Motion picture and sound recording industries</v>
      </c>
    </row>
    <row r="43" spans="1:25">
      <c r="A43" s="224"/>
      <c r="D43" s="180">
        <f t="shared" si="0"/>
        <v>2021</v>
      </c>
      <c r="E43" s="439"/>
      <c r="F43" s="440"/>
      <c r="G43" s="441"/>
      <c r="H43" s="440"/>
      <c r="I43" s="417"/>
      <c r="J43" s="441"/>
      <c r="K43" s="445"/>
      <c r="L43" s="441"/>
      <c r="M43" s="445"/>
      <c r="N43" s="417"/>
      <c r="O43" s="441"/>
      <c r="P43" s="445"/>
      <c r="Q43" s="441"/>
      <c r="R43" s="448"/>
      <c r="S43" s="524"/>
      <c r="T43" s="180"/>
      <c r="Y43" s="178" t="str">
        <f>'Calculation&amp;Summary'!D40</f>
        <v>39. Broadcasting, except Internet</v>
      </c>
    </row>
    <row r="44" spans="1:25">
      <c r="A44" s="224"/>
      <c r="D44" s="180">
        <f t="shared" si="0"/>
        <v>2022</v>
      </c>
      <c r="E44" s="439"/>
      <c r="F44" s="440"/>
      <c r="G44" s="441"/>
      <c r="H44" s="440"/>
      <c r="I44" s="417"/>
      <c r="J44" s="441"/>
      <c r="K44" s="445"/>
      <c r="L44" s="441"/>
      <c r="M44" s="445"/>
      <c r="N44" s="417"/>
      <c r="O44" s="441"/>
      <c r="P44" s="445"/>
      <c r="Q44" s="441"/>
      <c r="R44" s="448"/>
      <c r="S44" s="524"/>
      <c r="T44" s="180"/>
      <c r="Y44" s="178" t="str">
        <f>'Calculation&amp;Summary'!D41</f>
        <v>40. Telecommunications</v>
      </c>
    </row>
    <row r="45" spans="1:25">
      <c r="D45" s="180">
        <f t="shared" si="0"/>
        <v>2023</v>
      </c>
      <c r="E45" s="439"/>
      <c r="F45" s="440"/>
      <c r="G45" s="441"/>
      <c r="H45" s="440"/>
      <c r="I45" s="417"/>
      <c r="J45" s="441"/>
      <c r="K45" s="445"/>
      <c r="L45" s="441"/>
      <c r="M45" s="445"/>
      <c r="N45" s="417"/>
      <c r="O45" s="441"/>
      <c r="P45" s="445"/>
      <c r="Q45" s="441"/>
      <c r="R45" s="448"/>
      <c r="S45" s="524"/>
      <c r="T45" s="180"/>
      <c r="Y45" s="178" t="str">
        <f>'Calculation&amp;Summary'!D42</f>
        <v>41. Internet and other information services</v>
      </c>
    </row>
    <row r="46" spans="1:25">
      <c r="D46" s="180">
        <f t="shared" si="0"/>
        <v>2024</v>
      </c>
      <c r="E46" s="439"/>
      <c r="F46" s="440"/>
      <c r="G46" s="441"/>
      <c r="H46" s="440"/>
      <c r="I46" s="417"/>
      <c r="J46" s="441"/>
      <c r="K46" s="445"/>
      <c r="L46" s="441"/>
      <c r="M46" s="445"/>
      <c r="N46" s="417"/>
      <c r="O46" s="441"/>
      <c r="P46" s="445"/>
      <c r="Q46" s="441"/>
      <c r="R46" s="448"/>
      <c r="S46" s="524"/>
      <c r="T46" s="180"/>
      <c r="Y46" s="178" t="str">
        <f>'Calculation&amp;Summary'!D43</f>
        <v>42. Federal Reserve banks, credit intermediation and related services</v>
      </c>
    </row>
    <row r="47" spans="1:25">
      <c r="D47" s="180">
        <f t="shared" si="0"/>
        <v>2025</v>
      </c>
      <c r="E47" s="439"/>
      <c r="F47" s="440"/>
      <c r="G47" s="441"/>
      <c r="H47" s="440"/>
      <c r="I47" s="417"/>
      <c r="J47" s="441"/>
      <c r="K47" s="445"/>
      <c r="L47" s="441"/>
      <c r="M47" s="445"/>
      <c r="N47" s="417"/>
      <c r="O47" s="441"/>
      <c r="P47" s="445"/>
      <c r="Q47" s="441"/>
      <c r="R47" s="448"/>
      <c r="S47" s="524"/>
      <c r="T47" s="180"/>
      <c r="Y47" s="178" t="str">
        <f>'Calculation&amp;Summary'!D44</f>
        <v>43. Securities, commodity contracts, investments</v>
      </c>
    </row>
    <row r="48" spans="1:25">
      <c r="D48" s="180">
        <f t="shared" si="0"/>
        <v>2026</v>
      </c>
      <c r="E48" s="439"/>
      <c r="F48" s="440"/>
      <c r="G48" s="441"/>
      <c r="H48" s="440"/>
      <c r="I48" s="417"/>
      <c r="J48" s="441"/>
      <c r="K48" s="445"/>
      <c r="L48" s="441"/>
      <c r="M48" s="445"/>
      <c r="N48" s="417"/>
      <c r="O48" s="441"/>
      <c r="P48" s="445"/>
      <c r="Q48" s="441"/>
      <c r="R48" s="448"/>
      <c r="S48" s="524"/>
      <c r="T48" s="180"/>
      <c r="Y48" s="178" t="str">
        <f>'Calculation&amp;Summary'!D45</f>
        <v>44. Insurance carriers and related activities</v>
      </c>
    </row>
    <row r="49" spans="1:25">
      <c r="D49" s="180">
        <f t="shared" si="0"/>
        <v>2027</v>
      </c>
      <c r="E49" s="439"/>
      <c r="F49" s="440"/>
      <c r="G49" s="441"/>
      <c r="H49" s="440"/>
      <c r="I49" s="417"/>
      <c r="J49" s="441"/>
      <c r="K49" s="445"/>
      <c r="L49" s="441"/>
      <c r="M49" s="445"/>
      <c r="N49" s="417"/>
      <c r="O49" s="441"/>
      <c r="P49" s="445"/>
      <c r="Q49" s="441"/>
      <c r="R49" s="448"/>
      <c r="S49" s="524"/>
      <c r="T49" s="180"/>
      <c r="Y49" s="178" t="str">
        <f>'Calculation&amp;Summary'!D46</f>
        <v>45. Funds, trusts, and other financial vehicles</v>
      </c>
    </row>
    <row r="50" spans="1:25">
      <c r="D50" s="180">
        <f t="shared" si="0"/>
        <v>2028</v>
      </c>
      <c r="E50" s="439"/>
      <c r="F50" s="440"/>
      <c r="G50" s="441"/>
      <c r="H50" s="440"/>
      <c r="I50" s="417"/>
      <c r="J50" s="441"/>
      <c r="K50" s="445"/>
      <c r="L50" s="441"/>
      <c r="M50" s="445"/>
      <c r="N50" s="417"/>
      <c r="O50" s="441"/>
      <c r="P50" s="445"/>
      <c r="Q50" s="441"/>
      <c r="R50" s="448"/>
      <c r="S50" s="524"/>
      <c r="T50" s="180"/>
      <c r="Y50" s="178" t="str">
        <f>'Calculation&amp;Summary'!D47</f>
        <v>46. Real estate</v>
      </c>
    </row>
    <row r="51" spans="1:25">
      <c r="D51" s="180">
        <f t="shared" si="0"/>
        <v>2029</v>
      </c>
      <c r="E51" s="439"/>
      <c r="F51" s="440"/>
      <c r="G51" s="441"/>
      <c r="H51" s="440"/>
      <c r="I51" s="417"/>
      <c r="J51" s="441"/>
      <c r="K51" s="445"/>
      <c r="L51" s="441"/>
      <c r="M51" s="445"/>
      <c r="N51" s="417"/>
      <c r="O51" s="441"/>
      <c r="P51" s="445"/>
      <c r="Q51" s="441"/>
      <c r="R51" s="448"/>
      <c r="S51" s="524"/>
      <c r="T51" s="180"/>
      <c r="Y51" s="178" t="str">
        <f>'Calculation&amp;Summary'!D48</f>
        <v>47. Rental and leasing services and lessors of intangible assets</v>
      </c>
    </row>
    <row r="52" spans="1:25">
      <c r="D52" s="180">
        <f t="shared" si="0"/>
        <v>2030</v>
      </c>
      <c r="E52" s="439"/>
      <c r="F52" s="440"/>
      <c r="G52" s="441"/>
      <c r="H52" s="440"/>
      <c r="I52" s="417"/>
      <c r="J52" s="441"/>
      <c r="K52" s="445"/>
      <c r="L52" s="441"/>
      <c r="M52" s="445"/>
      <c r="N52" s="417"/>
      <c r="O52" s="441"/>
      <c r="P52" s="445"/>
      <c r="Q52" s="441"/>
      <c r="R52" s="448"/>
      <c r="S52" s="524"/>
      <c r="T52" s="180"/>
      <c r="Y52" s="178" t="str">
        <f>'Calculation&amp;Summary'!D49</f>
        <v>48. Professional, scientific, and technical services</v>
      </c>
    </row>
    <row r="53" spans="1:25">
      <c r="D53" s="180">
        <f t="shared" si="0"/>
        <v>2031</v>
      </c>
      <c r="E53" s="439"/>
      <c r="F53" s="440"/>
      <c r="G53" s="441"/>
      <c r="H53" s="440"/>
      <c r="I53" s="417"/>
      <c r="J53" s="441"/>
      <c r="K53" s="445"/>
      <c r="L53" s="441"/>
      <c r="M53" s="445"/>
      <c r="N53" s="417"/>
      <c r="O53" s="441"/>
      <c r="P53" s="445"/>
      <c r="Q53" s="441"/>
      <c r="R53" s="448"/>
      <c r="S53" s="524"/>
      <c r="T53" s="180"/>
      <c r="Y53" s="178" t="str">
        <f>'Calculation&amp;Summary'!D50</f>
        <v>49. Management of companies and enterprises</v>
      </c>
    </row>
    <row r="54" spans="1:25">
      <c r="D54" s="180">
        <f t="shared" si="0"/>
        <v>2032</v>
      </c>
      <c r="E54" s="439"/>
      <c r="F54" s="440"/>
      <c r="G54" s="441"/>
      <c r="H54" s="440"/>
      <c r="I54" s="417"/>
      <c r="J54" s="441"/>
      <c r="K54" s="445"/>
      <c r="L54" s="441"/>
      <c r="M54" s="445"/>
      <c r="N54" s="417"/>
      <c r="O54" s="441"/>
      <c r="P54" s="445"/>
      <c r="Q54" s="441"/>
      <c r="R54" s="448"/>
      <c r="S54" s="524"/>
      <c r="T54" s="180"/>
      <c r="Y54" s="178" t="str">
        <f>'Calculation&amp;Summary'!D51</f>
        <v>50. Administrative and support services</v>
      </c>
    </row>
    <row r="55" spans="1:25">
      <c r="D55" s="180">
        <f t="shared" si="0"/>
        <v>2033</v>
      </c>
      <c r="E55" s="439"/>
      <c r="F55" s="440"/>
      <c r="G55" s="441"/>
      <c r="H55" s="440"/>
      <c r="I55" s="417"/>
      <c r="J55" s="441"/>
      <c r="K55" s="445"/>
      <c r="L55" s="441"/>
      <c r="M55" s="445"/>
      <c r="N55" s="417"/>
      <c r="O55" s="441"/>
      <c r="P55" s="445"/>
      <c r="Q55" s="441"/>
      <c r="R55" s="448"/>
      <c r="S55" s="524"/>
      <c r="T55" s="180"/>
      <c r="Y55" s="178" t="str">
        <f>'Calculation&amp;Summary'!D52</f>
        <v>51. Waste management and remediation services</v>
      </c>
    </row>
    <row r="56" spans="1:25">
      <c r="D56" s="180">
        <f t="shared" si="0"/>
        <v>2034</v>
      </c>
      <c r="E56" s="442"/>
      <c r="F56" s="443"/>
      <c r="G56" s="444"/>
      <c r="H56" s="443"/>
      <c r="I56" s="417"/>
      <c r="J56" s="444"/>
      <c r="K56" s="446"/>
      <c r="L56" s="444"/>
      <c r="M56" s="446"/>
      <c r="N56" s="417"/>
      <c r="O56" s="444"/>
      <c r="P56" s="446"/>
      <c r="Q56" s="444"/>
      <c r="R56" s="449"/>
      <c r="S56" s="524"/>
      <c r="T56" s="180"/>
      <c r="Y56" s="178" t="str">
        <f>'Calculation&amp;Summary'!D53</f>
        <v>52. Educational services</v>
      </c>
    </row>
    <row r="57" spans="1:25">
      <c r="Y57" s="178" t="str">
        <f>'Calculation&amp;Summary'!D54</f>
        <v>53. Ambulatory health care services</v>
      </c>
    </row>
    <row r="58" spans="1:25">
      <c r="Y58" s="178" t="str">
        <f>'Calculation&amp;Summary'!D55</f>
        <v>54. Hospitals</v>
      </c>
    </row>
    <row r="59" spans="1:25" ht="27.6">
      <c r="B59" s="413" t="s">
        <v>1468</v>
      </c>
      <c r="E59" s="450">
        <v>0.15</v>
      </c>
      <c r="F59" s="451"/>
      <c r="G59" s="451"/>
      <c r="H59" s="452"/>
      <c r="J59" s="450">
        <v>0.15</v>
      </c>
      <c r="K59" s="453"/>
      <c r="L59" s="453"/>
      <c r="M59" s="454"/>
      <c r="O59" s="450">
        <v>0.15</v>
      </c>
      <c r="P59" s="453"/>
      <c r="Q59" s="453"/>
      <c r="R59" s="454"/>
      <c r="T59" s="525" t="s">
        <v>1506</v>
      </c>
      <c r="Y59" s="178" t="str">
        <f>'Calculation&amp;Summary'!D56</f>
        <v>55. Nursing and residential care facilities</v>
      </c>
    </row>
    <row r="60" spans="1:25">
      <c r="B60" s="413" t="s">
        <v>1299</v>
      </c>
      <c r="E60" s="414" t="str">
        <f>'Calculation&amp;Summary'!AI7</f>
        <v>Check Salary</v>
      </c>
      <c r="F60" s="403"/>
      <c r="G60" s="403"/>
      <c r="H60" s="402"/>
      <c r="J60" s="414" t="str">
        <f>'Calculation&amp;Summary'!AQ7</f>
        <v>Check Salary</v>
      </c>
      <c r="K60" s="403"/>
      <c r="L60" s="403"/>
      <c r="M60" s="402"/>
      <c r="O60" s="414" t="str">
        <f>'Calculation&amp;Summary'!AY7</f>
        <v>Check Salary</v>
      </c>
      <c r="P60" s="403"/>
      <c r="Q60" s="403"/>
      <c r="R60" s="402"/>
      <c r="Y60" s="178" t="str">
        <f>'Calculation&amp;Summary'!D57</f>
        <v>56. Social assistance</v>
      </c>
    </row>
    <row r="61" spans="1:25">
      <c r="B61" s="413"/>
      <c r="E61" s="544"/>
      <c r="F61" s="545"/>
      <c r="G61" s="545"/>
      <c r="H61" s="545"/>
      <c r="J61" s="544"/>
      <c r="K61" s="545"/>
      <c r="L61" s="545"/>
      <c r="M61" s="545"/>
      <c r="O61" s="544"/>
      <c r="P61" s="545"/>
      <c r="Q61" s="545"/>
      <c r="R61" s="545"/>
      <c r="Y61" s="178" t="str">
        <f>'Calculation&amp;Summary'!D58</f>
        <v>57. Performing arts, spectator sports, museums, zoos, and parks</v>
      </c>
    </row>
    <row r="62" spans="1:25">
      <c r="Y62" s="178" t="str">
        <f>'Calculation&amp;Summary'!D59</f>
        <v>58. Amusements, gambling, and recreation</v>
      </c>
    </row>
    <row r="63" spans="1:25" ht="18.600000000000001" thickBot="1">
      <c r="A63" s="398" t="s">
        <v>1470</v>
      </c>
      <c r="Y63" s="178" t="str">
        <f>'Calculation&amp;Summary'!D60</f>
        <v>59. Accommodation</v>
      </c>
    </row>
    <row r="64" spans="1:25" ht="15" thickBot="1">
      <c r="B64" s="598" t="s">
        <v>1293</v>
      </c>
      <c r="E64" s="502" t="s">
        <v>43</v>
      </c>
      <c r="F64" s="503"/>
      <c r="G64" s="503"/>
      <c r="H64" s="504"/>
      <c r="J64" s="542" t="s">
        <v>1471</v>
      </c>
      <c r="K64" s="543"/>
      <c r="L64" s="542" t="s">
        <v>1472</v>
      </c>
      <c r="M64" s="543"/>
      <c r="Y64" s="178" t="str">
        <f>'Calculation&amp;Summary'!D61</f>
        <v>60. Food services and drinking places</v>
      </c>
    </row>
    <row r="65" spans="2:25">
      <c r="J65" s="540" t="s">
        <v>44</v>
      </c>
      <c r="K65" s="543"/>
      <c r="L65" s="541">
        <v>0.115</v>
      </c>
      <c r="M65" s="543"/>
      <c r="O65" s="539"/>
      <c r="P65" s="539"/>
      <c r="Q65" s="539"/>
      <c r="R65" s="539"/>
      <c r="Y65" s="178" t="str">
        <f>'Calculation&amp;Summary'!D62</f>
        <v>61. Other services*</v>
      </c>
    </row>
    <row r="66" spans="2:25">
      <c r="J66" s="540" t="s">
        <v>43</v>
      </c>
      <c r="K66" s="543"/>
      <c r="L66" s="541">
        <v>7.3999999999999996E-2</v>
      </c>
      <c r="M66" s="543"/>
      <c r="O66" s="539"/>
      <c r="P66" s="539"/>
      <c r="Q66" s="539"/>
      <c r="R66" s="539"/>
      <c r="Y66" s="178" t="str">
        <f>'Calculation&amp;Summary'!D63</f>
        <v>62. Households</v>
      </c>
    </row>
    <row r="67" spans="2:25">
      <c r="J67" s="540" t="s">
        <v>42</v>
      </c>
      <c r="K67" s="543"/>
      <c r="L67" s="541">
        <v>7.0000000000000007E-2</v>
      </c>
      <c r="M67" s="543"/>
    </row>
    <row r="68" spans="2:25">
      <c r="J68" s="540" t="s">
        <v>41</v>
      </c>
      <c r="K68" s="543"/>
      <c r="L68" s="541">
        <v>6.6000000000000003E-2</v>
      </c>
      <c r="M68" s="543"/>
    </row>
    <row r="69" spans="2:25">
      <c r="J69" s="540" t="s">
        <v>40</v>
      </c>
      <c r="K69" s="543"/>
      <c r="L69" s="541">
        <v>3.2000000000000001E-2</v>
      </c>
      <c r="M69" s="543"/>
    </row>
    <row r="70" spans="2:25">
      <c r="J70" s="540" t="s">
        <v>39</v>
      </c>
      <c r="K70" s="543"/>
      <c r="L70" s="541">
        <v>1.7999999999999999E-2</v>
      </c>
      <c r="M70" s="543"/>
    </row>
    <row r="71" spans="2:25">
      <c r="J71" s="540" t="s">
        <v>38</v>
      </c>
      <c r="K71" s="543"/>
      <c r="L71" s="541">
        <v>8.3000000000000001E-3</v>
      </c>
      <c r="M71" s="543"/>
    </row>
    <row r="72" spans="2:25">
      <c r="J72" s="540" t="s">
        <v>37</v>
      </c>
      <c r="K72" s="543"/>
      <c r="L72" s="541">
        <v>6.1199999999999996E-3</v>
      </c>
      <c r="M72" s="543"/>
    </row>
    <row r="73" spans="2:25">
      <c r="R73" s="178" t="s">
        <v>1481</v>
      </c>
    </row>
    <row r="74" spans="2:25" ht="15" thickBot="1">
      <c r="B74" s="413" t="s">
        <v>32</v>
      </c>
      <c r="E74" s="401" t="s">
        <v>1270</v>
      </c>
      <c r="F74" s="401"/>
      <c r="G74" s="401"/>
      <c r="H74" s="401"/>
      <c r="J74" s="401" t="s">
        <v>1271</v>
      </c>
      <c r="K74" s="401"/>
      <c r="L74" s="401"/>
      <c r="M74" s="401"/>
      <c r="R74" s="537" t="s">
        <v>1503</v>
      </c>
    </row>
    <row r="75" spans="2:25" ht="30" thickTop="1" thickBot="1">
      <c r="B75" s="520" t="s">
        <v>1483</v>
      </c>
      <c r="E75" s="460" t="s">
        <v>0</v>
      </c>
      <c r="F75" s="455"/>
      <c r="G75" s="455"/>
      <c r="H75" s="456"/>
      <c r="J75" s="460" t="s">
        <v>0</v>
      </c>
      <c r="K75" s="455"/>
      <c r="L75" s="455"/>
      <c r="M75" s="456"/>
      <c r="O75" s="525" t="str">
        <f>IF(E85="x", "Not driving model because user input is activated. Change response to Question #5 to adjust.",IF(E75="x","Answer Next Question",IF(J75="x", "Answer Question 4 in this section.","")))</f>
        <v/>
      </c>
      <c r="P75" s="525"/>
      <c r="Q75" s="525"/>
      <c r="R75" s="525"/>
      <c r="T75" s="536">
        <f>'Calculation&amp;Summary'!Q42</f>
        <v>0</v>
      </c>
    </row>
    <row r="76" spans="2:25">
      <c r="B76" s="520"/>
      <c r="E76" s="516"/>
      <c r="F76" s="516"/>
      <c r="G76" s="516"/>
      <c r="H76" s="516"/>
      <c r="J76" s="516"/>
      <c r="K76" s="516"/>
      <c r="L76" s="516"/>
      <c r="M76" s="516"/>
      <c r="O76" s="525"/>
      <c r="P76" s="525"/>
      <c r="Q76" s="525"/>
      <c r="R76" s="525"/>
      <c r="T76" s="564"/>
    </row>
    <row r="77" spans="2:25" ht="15" thickBot="1">
      <c r="B77" s="515"/>
      <c r="E77" s="401" t="s">
        <v>1270</v>
      </c>
      <c r="F77" s="401"/>
      <c r="G77" s="401"/>
      <c r="H77" s="401"/>
      <c r="J77" s="401" t="s">
        <v>1271</v>
      </c>
      <c r="K77" s="401"/>
      <c r="L77" s="401"/>
      <c r="M77" s="401"/>
      <c r="O77" s="525"/>
      <c r="P77" s="525"/>
      <c r="Q77" s="525"/>
      <c r="R77" s="525"/>
    </row>
    <row r="78" spans="2:25" ht="43.8" thickBot="1">
      <c r="B78" s="520" t="s">
        <v>1505</v>
      </c>
      <c r="E78" s="460" t="s">
        <v>0</v>
      </c>
      <c r="F78" s="455"/>
      <c r="G78" s="455"/>
      <c r="H78" s="456"/>
      <c r="J78" s="460" t="s">
        <v>0</v>
      </c>
      <c r="K78" s="455"/>
      <c r="L78" s="455"/>
      <c r="M78" s="456"/>
      <c r="O78" s="525" t="str">
        <f>IF(E85="x", "Not driving model because user input is activated. Change response to Question #5 to adjust.",IF(J75="x","N/A",IF(E78="x","Answer Next Question",IF(J78="x", "Skip to Question #5 in this Section.",""))))</f>
        <v/>
      </c>
      <c r="P78" s="525"/>
      <c r="Q78" s="525"/>
      <c r="R78" s="525"/>
    </row>
    <row r="79" spans="2:25" ht="15" thickBot="1">
      <c r="B79" s="515"/>
      <c r="E79" s="516"/>
      <c r="F79" s="516"/>
      <c r="G79" s="516"/>
      <c r="H79" s="516"/>
      <c r="J79" s="516"/>
      <c r="K79" s="516"/>
      <c r="L79" s="516"/>
      <c r="M79" s="516"/>
      <c r="O79" s="525"/>
      <c r="P79" s="525"/>
      <c r="Q79" s="525"/>
      <c r="R79" s="525"/>
    </row>
    <row r="80" spans="2:25" ht="50.25" customHeight="1" thickBot="1">
      <c r="B80" s="520" t="s">
        <v>1507</v>
      </c>
      <c r="E80" s="517">
        <v>1</v>
      </c>
      <c r="F80" s="518"/>
      <c r="G80" s="518"/>
      <c r="H80" s="519"/>
      <c r="O80" s="525" t="str">
        <f>IF(E85="x", "Not driving model because user input is activated. Change response to Question #5 to adjust.",IF(OR(J75="x",J78="x"),"N/A","Figure must be substantiated by a market study."))</f>
        <v>Figure must be substantiated by a market study.</v>
      </c>
      <c r="P80" s="525"/>
      <c r="Q80" s="525"/>
      <c r="R80" s="525"/>
    </row>
    <row r="81" spans="2:20" ht="15" thickBot="1">
      <c r="B81" s="515"/>
      <c r="O81" s="526"/>
      <c r="P81" s="526"/>
      <c r="Q81" s="526"/>
      <c r="R81" s="526"/>
    </row>
    <row r="82" spans="2:20" ht="15" thickBot="1">
      <c r="B82" s="520" t="s">
        <v>1508</v>
      </c>
      <c r="E82" s="517">
        <v>7.0000000000000007E-2</v>
      </c>
      <c r="F82" s="518"/>
      <c r="G82" s="518"/>
      <c r="H82" s="519"/>
      <c r="O82" s="525" t="str">
        <f>IF(E85="x", "Not driving model because user input is activated. Change response to Question #5 to adjust.",IF(OR(J75="x",J78="x"),"N/A","7.00% is the standard."))</f>
        <v>7.00% is the standard.</v>
      </c>
      <c r="P82" s="525"/>
      <c r="Q82" s="525"/>
      <c r="R82" s="525"/>
    </row>
    <row r="83" spans="2:20">
      <c r="B83" s="520"/>
      <c r="E83" s="565"/>
      <c r="F83" s="566"/>
      <c r="G83" s="566"/>
      <c r="H83" s="566"/>
      <c r="O83" s="525"/>
      <c r="P83" s="525"/>
      <c r="Q83" s="525"/>
      <c r="R83" s="525"/>
    </row>
    <row r="84" spans="2:20" ht="15" thickBot="1">
      <c r="B84" s="520"/>
      <c r="E84" s="401" t="s">
        <v>1270</v>
      </c>
      <c r="F84" s="401"/>
      <c r="G84" s="401"/>
      <c r="H84" s="401"/>
      <c r="J84" s="401" t="s">
        <v>1271</v>
      </c>
      <c r="K84" s="401"/>
      <c r="L84" s="401"/>
      <c r="M84" s="401"/>
      <c r="O84" s="525"/>
      <c r="P84" s="525"/>
      <c r="Q84" s="525"/>
      <c r="R84" s="525"/>
    </row>
    <row r="85" spans="2:20" ht="29.4" thickBot="1">
      <c r="B85" s="520" t="s">
        <v>1510</v>
      </c>
      <c r="E85" s="460" t="s">
        <v>0</v>
      </c>
      <c r="F85" s="455"/>
      <c r="G85" s="455"/>
      <c r="H85" s="456"/>
      <c r="J85" s="460" t="s">
        <v>0</v>
      </c>
      <c r="K85" s="455"/>
      <c r="L85" s="455"/>
      <c r="M85" s="456"/>
      <c r="O85" s="525" t="str">
        <f>IF(E85="x","Answer Next Question",IF(J85="x", "Skip to Corporate Income Tax Section.",""))</f>
        <v/>
      </c>
      <c r="P85" s="525"/>
      <c r="Q85" s="525"/>
      <c r="R85" s="525"/>
    </row>
    <row r="86" spans="2:20" ht="15" thickBot="1">
      <c r="B86" s="520"/>
      <c r="E86" s="565"/>
      <c r="F86" s="566"/>
      <c r="G86" s="566"/>
      <c r="H86" s="566"/>
      <c r="O86" s="525"/>
      <c r="P86" s="525"/>
      <c r="Q86" s="525"/>
      <c r="R86" s="525"/>
    </row>
    <row r="87" spans="2:20" ht="15" thickBot="1">
      <c r="B87" s="520" t="s">
        <v>1509</v>
      </c>
      <c r="E87" s="533">
        <v>0</v>
      </c>
      <c r="F87" s="534"/>
      <c r="G87" s="534"/>
      <c r="H87" s="535"/>
      <c r="O87" s="525" t="str">
        <f>IF(E85="x","Explanation of input required via comment. Answer Next Question",IF(J85="x", "Question #5 must be answered 'Yes' to trigger this input",""))</f>
        <v/>
      </c>
      <c r="P87" s="525"/>
      <c r="Q87" s="525"/>
      <c r="R87" s="525"/>
    </row>
    <row r="88" spans="2:20">
      <c r="O88" s="526"/>
      <c r="P88" s="526"/>
      <c r="Q88" s="526"/>
      <c r="R88" s="526"/>
    </row>
    <row r="89" spans="2:20" ht="15" thickBot="1">
      <c r="B89" s="413" t="s">
        <v>1474</v>
      </c>
      <c r="E89" s="401" t="s">
        <v>1270</v>
      </c>
      <c r="F89" s="401"/>
      <c r="G89" s="401"/>
      <c r="H89" s="401"/>
      <c r="J89" s="401" t="s">
        <v>1271</v>
      </c>
      <c r="K89" s="401"/>
      <c r="L89" s="401"/>
      <c r="M89" s="401"/>
      <c r="O89" s="526"/>
      <c r="P89" s="526"/>
      <c r="Q89" s="526"/>
      <c r="R89" s="526"/>
    </row>
    <row r="90" spans="2:20" ht="44.4" thickTop="1" thickBot="1">
      <c r="B90" s="520" t="s">
        <v>1484</v>
      </c>
      <c r="E90" s="460" t="s">
        <v>0</v>
      </c>
      <c r="F90" s="455"/>
      <c r="G90" s="455"/>
      <c r="H90" s="456"/>
      <c r="J90" s="460" t="s">
        <v>0</v>
      </c>
      <c r="K90" s="455"/>
      <c r="L90" s="455"/>
      <c r="M90" s="456"/>
      <c r="O90" s="525" t="str">
        <f>IF(E90="x","Answer Next Question",IF(J90="x","Skip to Gross Income Tax section. Model will calculate number.",""))</f>
        <v/>
      </c>
      <c r="P90" s="525"/>
      <c r="Q90" s="525"/>
      <c r="R90" s="525"/>
      <c r="T90" s="536">
        <f>'Calculation&amp;Summary'!Q43</f>
        <v>2700000</v>
      </c>
    </row>
    <row r="91" spans="2:20" ht="15" thickBot="1">
      <c r="B91" s="515"/>
      <c r="E91" s="516"/>
      <c r="F91" s="516"/>
      <c r="G91" s="516"/>
      <c r="H91" s="516"/>
      <c r="J91" s="516"/>
      <c r="K91" s="516"/>
      <c r="L91" s="516"/>
      <c r="M91" s="516"/>
      <c r="O91" s="525"/>
      <c r="P91" s="525"/>
      <c r="Q91" s="525"/>
      <c r="R91" s="525"/>
    </row>
    <row r="92" spans="2:20" ht="29.4" thickBot="1">
      <c r="B92" s="520" t="s">
        <v>1476</v>
      </c>
      <c r="E92" s="533">
        <v>0</v>
      </c>
      <c r="F92" s="534"/>
      <c r="G92" s="534"/>
      <c r="H92" s="535"/>
      <c r="O92" s="525" t="str">
        <f>IF(E90="x"," The Model uses the lesser of the inputted number and a calculated number that is based on job salaries.",IF(J90="x", "N/A",""))</f>
        <v/>
      </c>
      <c r="P92" s="527"/>
      <c r="Q92" s="527"/>
      <c r="R92" s="527"/>
    </row>
    <row r="93" spans="2:20">
      <c r="O93" s="526"/>
      <c r="P93" s="526"/>
      <c r="Q93" s="526"/>
      <c r="R93" s="526"/>
    </row>
    <row r="94" spans="2:20" ht="28.8">
      <c r="B94" s="520" t="s">
        <v>1475</v>
      </c>
      <c r="E94" s="178" t="s">
        <v>1477</v>
      </c>
      <c r="O94" s="525" t="str">
        <f>IF(E75="x","Note:  The Corporate Income Tax rate is multipled by 2/3 because the majority of jobs in this project are retail.","N/A")</f>
        <v>N/A</v>
      </c>
      <c r="P94" s="527"/>
      <c r="Q94" s="527"/>
      <c r="R94" s="527"/>
    </row>
    <row r="95" spans="2:20">
      <c r="O95" s="526"/>
      <c r="P95" s="526"/>
      <c r="Q95" s="526"/>
      <c r="R95" s="526"/>
    </row>
    <row r="96" spans="2:20" ht="15" thickBot="1">
      <c r="B96" s="413" t="s">
        <v>51</v>
      </c>
      <c r="E96" s="401" t="s">
        <v>1270</v>
      </c>
      <c r="F96" s="401"/>
      <c r="G96" s="401"/>
      <c r="H96" s="401"/>
      <c r="J96" s="401" t="s">
        <v>1271</v>
      </c>
      <c r="K96" s="401"/>
      <c r="L96" s="401"/>
      <c r="M96" s="401"/>
      <c r="O96" s="526"/>
      <c r="P96" s="526"/>
      <c r="Q96" s="526"/>
      <c r="R96" s="526"/>
    </row>
    <row r="97" spans="2:22" ht="44.4" thickTop="1" thickBot="1">
      <c r="B97" s="520" t="s">
        <v>1485</v>
      </c>
      <c r="E97" s="460" t="s">
        <v>0</v>
      </c>
      <c r="F97" s="455"/>
      <c r="G97" s="455"/>
      <c r="H97" s="456"/>
      <c r="J97" s="460" t="s">
        <v>0</v>
      </c>
      <c r="K97" s="455"/>
      <c r="L97" s="455"/>
      <c r="M97" s="456"/>
      <c r="O97" s="525" t="str">
        <f>IF(E97="x","Answer Next Question",IF(J97="x","Skip to Misc. State Tax Revenue section. Model will calculate number.",""))</f>
        <v/>
      </c>
      <c r="P97" s="525"/>
      <c r="Q97" s="525"/>
      <c r="R97" s="525"/>
      <c r="T97" s="536">
        <f>'Calculation&amp;Summary'!Q44</f>
        <v>980000</v>
      </c>
    </row>
    <row r="98" spans="2:22" ht="15" thickBot="1">
      <c r="B98" s="515"/>
      <c r="E98" s="516"/>
      <c r="F98" s="516"/>
      <c r="G98" s="516"/>
      <c r="H98" s="516"/>
      <c r="J98" s="516"/>
      <c r="K98" s="516"/>
      <c r="L98" s="516"/>
      <c r="M98" s="516"/>
      <c r="O98" s="525"/>
      <c r="P98" s="525"/>
      <c r="Q98" s="525"/>
      <c r="R98" s="525"/>
    </row>
    <row r="99" spans="2:22" ht="50.25" customHeight="1" thickBot="1">
      <c r="B99" s="520" t="s">
        <v>1476</v>
      </c>
      <c r="E99" s="533" t="s">
        <v>0</v>
      </c>
      <c r="F99" s="534">
        <v>0</v>
      </c>
      <c r="G99" s="534"/>
      <c r="H99" s="535"/>
      <c r="O99" s="525" t="str">
        <f>IF(E97="x","Model calculates own number. The lower of figure from company and model number is used in calculations.",IF(J97="x", "N/A",""))</f>
        <v/>
      </c>
      <c r="P99" s="527"/>
      <c r="Q99" s="527"/>
      <c r="R99" s="527"/>
    </row>
    <row r="100" spans="2:22">
      <c r="B100" s="413"/>
      <c r="O100" s="526"/>
      <c r="P100" s="526"/>
      <c r="Q100" s="526"/>
      <c r="R100" s="526"/>
    </row>
    <row r="101" spans="2:22" ht="28.8">
      <c r="B101" s="520" t="s">
        <v>1475</v>
      </c>
      <c r="E101" s="178" t="s">
        <v>1477</v>
      </c>
      <c r="O101" s="525" t="str">
        <f>IF(E75="x","The Corporate Income Tax rate is multipled by 2/3 because the majority of jobs in this project are retail.","N/A")</f>
        <v>N/A</v>
      </c>
      <c r="P101" s="527"/>
      <c r="Q101" s="527"/>
      <c r="R101" s="527"/>
    </row>
    <row r="102" spans="2:22">
      <c r="B102" s="413"/>
      <c r="O102" s="525"/>
      <c r="P102" s="527"/>
      <c r="Q102" s="527"/>
      <c r="R102" s="527"/>
    </row>
    <row r="103" spans="2:22" ht="15" thickBot="1">
      <c r="B103" s="413" t="s">
        <v>1478</v>
      </c>
      <c r="O103" s="526"/>
      <c r="P103" s="526"/>
      <c r="Q103" s="526"/>
      <c r="R103" s="526"/>
    </row>
    <row r="104" spans="2:22" ht="30" thickTop="1" thickBot="1">
      <c r="B104" s="520" t="s">
        <v>1479</v>
      </c>
      <c r="E104" s="533" t="s">
        <v>0</v>
      </c>
      <c r="F104" s="534"/>
      <c r="G104" s="534"/>
      <c r="H104" s="535"/>
      <c r="O104" s="525" t="s">
        <v>1502</v>
      </c>
      <c r="P104" s="527"/>
      <c r="Q104" s="527"/>
      <c r="R104" s="527"/>
      <c r="T104" s="536" t="str">
        <f>'Calculation&amp;Summary'!Q45</f>
        <v xml:space="preserve"> </v>
      </c>
    </row>
    <row r="105" spans="2:22">
      <c r="B105" s="413"/>
      <c r="O105" s="526"/>
      <c r="P105" s="526"/>
      <c r="Q105" s="526"/>
      <c r="R105" s="526"/>
    </row>
    <row r="106" spans="2:22" ht="15" thickBot="1">
      <c r="B106" s="413" t="s">
        <v>1480</v>
      </c>
      <c r="O106" s="526"/>
      <c r="P106" s="526"/>
      <c r="Q106" s="526"/>
      <c r="R106" s="526"/>
    </row>
    <row r="107" spans="2:22" ht="42.6" thickTop="1" thickBot="1">
      <c r="B107" s="520" t="s">
        <v>1486</v>
      </c>
      <c r="E107" s="533"/>
      <c r="F107" s="534"/>
      <c r="G107" s="534"/>
      <c r="H107" s="535"/>
      <c r="L107" s="532"/>
      <c r="O107" s="525" t="s">
        <v>1482</v>
      </c>
      <c r="P107" s="527"/>
      <c r="Q107" s="527"/>
      <c r="R107" s="527"/>
      <c r="T107" s="536">
        <f>'Calculation&amp;Summary'!Q46</f>
        <v>0</v>
      </c>
      <c r="V107" s="539"/>
    </row>
    <row r="108" spans="2:22" ht="15" thickBot="1">
      <c r="B108" s="520"/>
      <c r="E108" s="568"/>
      <c r="F108" s="568"/>
      <c r="G108" s="568"/>
      <c r="H108" s="568"/>
      <c r="L108" s="532"/>
      <c r="O108" s="525"/>
      <c r="P108" s="527"/>
      <c r="Q108" s="527"/>
      <c r="R108" s="527"/>
      <c r="T108" s="569"/>
      <c r="V108" s="539"/>
    </row>
    <row r="109" spans="2:22" ht="42" thickBot="1">
      <c r="B109" s="599" t="s">
        <v>1511</v>
      </c>
      <c r="E109" s="533">
        <f>2889095+76195011</f>
        <v>79084106</v>
      </c>
      <c r="F109" s="534"/>
      <c r="G109" s="534"/>
      <c r="H109" s="535"/>
      <c r="L109" s="532"/>
      <c r="O109" s="525" t="s">
        <v>1512</v>
      </c>
      <c r="P109" s="527"/>
      <c r="Q109" s="527"/>
      <c r="R109" s="527"/>
      <c r="T109" s="569"/>
      <c r="V109" s="539"/>
    </row>
    <row r="110" spans="2:22">
      <c r="B110" s="520"/>
      <c r="E110" s="568"/>
      <c r="F110" s="568"/>
      <c r="G110" s="568"/>
      <c r="H110" s="568"/>
      <c r="L110" s="532"/>
      <c r="O110" s="525"/>
      <c r="P110" s="527"/>
      <c r="Q110" s="527"/>
      <c r="R110" s="527"/>
      <c r="T110" s="569"/>
      <c r="V110" s="539"/>
    </row>
    <row r="111" spans="2:22">
      <c r="B111" s="520"/>
      <c r="E111" s="568"/>
      <c r="F111" s="568"/>
      <c r="G111" s="568"/>
      <c r="H111" s="568"/>
      <c r="L111" s="532"/>
      <c r="O111" s="525"/>
      <c r="P111" s="527"/>
      <c r="Q111" s="527"/>
      <c r="R111" s="527"/>
      <c r="T111" s="569"/>
      <c r="V111" s="539"/>
    </row>
    <row r="112" spans="2:22">
      <c r="B112" s="413"/>
    </row>
    <row r="113" spans="1:20" ht="18">
      <c r="A113" s="398" t="s">
        <v>1490</v>
      </c>
      <c r="B113" s="413"/>
    </row>
    <row r="114" spans="1:20" ht="18.600000000000001" thickBot="1">
      <c r="A114" s="530"/>
      <c r="B114" s="413" t="s">
        <v>1493</v>
      </c>
      <c r="E114" s="401" t="s">
        <v>1270</v>
      </c>
      <c r="F114" s="401"/>
      <c r="G114" s="401"/>
      <c r="H114" s="401"/>
      <c r="J114" s="401" t="s">
        <v>1271</v>
      </c>
      <c r="K114" s="401"/>
      <c r="L114" s="401"/>
      <c r="M114" s="401"/>
    </row>
    <row r="115" spans="1:20" ht="42" thickBot="1">
      <c r="A115" s="530"/>
      <c r="B115" s="520" t="s">
        <v>1494</v>
      </c>
      <c r="E115" s="460"/>
      <c r="F115" s="455"/>
      <c r="G115" s="455"/>
      <c r="H115" s="456"/>
      <c r="J115" s="460"/>
      <c r="K115" s="455"/>
      <c r="L115" s="455"/>
      <c r="M115" s="456"/>
      <c r="O115" s="525" t="s">
        <v>1495</v>
      </c>
      <c r="P115" s="499"/>
      <c r="Q115" s="499"/>
      <c r="R115" s="499"/>
    </row>
    <row r="116" spans="1:20" ht="18">
      <c r="A116" s="530"/>
      <c r="B116" s="413"/>
    </row>
    <row r="117" spans="1:20" ht="15" thickBot="1">
      <c r="B117" s="413" t="s">
        <v>1286</v>
      </c>
    </row>
    <row r="118" spans="1:20" ht="42" thickBot="1">
      <c r="B118" s="520" t="s">
        <v>1497</v>
      </c>
      <c r="E118" s="533" t="s">
        <v>0</v>
      </c>
      <c r="F118" s="534"/>
      <c r="G118" s="534"/>
      <c r="H118" s="535"/>
      <c r="O118" s="525" t="s">
        <v>1504</v>
      </c>
      <c r="P118" s="499"/>
      <c r="Q118" s="499"/>
      <c r="R118" s="499"/>
    </row>
    <row r="119" spans="1:20">
      <c r="B119" s="413"/>
    </row>
    <row r="120" spans="1:20" ht="15" thickBot="1">
      <c r="B120" s="413" t="s">
        <v>1496</v>
      </c>
    </row>
    <row r="121" spans="1:20" ht="29.4" thickBot="1">
      <c r="B121" s="520" t="s">
        <v>1487</v>
      </c>
      <c r="E121" s="460"/>
      <c r="F121" s="455"/>
      <c r="G121" s="455"/>
      <c r="H121" s="456"/>
      <c r="J121" s="460" t="s">
        <v>0</v>
      </c>
      <c r="K121" s="455"/>
      <c r="L121" s="455"/>
      <c r="M121" s="456"/>
    </row>
    <row r="122" spans="1:20">
      <c r="B122" s="413"/>
    </row>
    <row r="123" spans="1:20">
      <c r="B123" s="413" t="s">
        <v>1498</v>
      </c>
    </row>
    <row r="124" spans="1:20" ht="28.8">
      <c r="B124" s="520" t="s">
        <v>1501</v>
      </c>
      <c r="E124" s="405" t="str">
        <f>'Calculation&amp;Summary'!Q112</f>
        <v>Yes</v>
      </c>
      <c r="F124" s="405"/>
      <c r="G124" s="405"/>
      <c r="H124" s="405"/>
      <c r="O124" s="525" t="str">
        <f>IF(E124="Yes","The project does meet this requirement for a HUB award."," The project does not meet this requirement for a HUB award.")</f>
        <v>The project does meet this requirement for a HUB award.</v>
      </c>
      <c r="P124" s="499"/>
      <c r="Q124" s="499"/>
      <c r="R124" s="499"/>
    </row>
    <row r="125" spans="1:20">
      <c r="B125" s="413"/>
    </row>
    <row r="126" spans="1:20" ht="28.8">
      <c r="B126" s="520" t="s">
        <v>1499</v>
      </c>
      <c r="E126" s="405" t="str">
        <f>'Calculation&amp;Summary'!Q113</f>
        <v>Yes</v>
      </c>
      <c r="F126" s="405"/>
      <c r="G126" s="405"/>
      <c r="H126" s="405"/>
      <c r="O126" s="525" t="str">
        <f>IF(E126="Yes","The project does meet this requirement for a HUB award."," The project does not meet this requirement for a HUB award.")</f>
        <v>The project does meet this requirement for a HUB award.</v>
      </c>
      <c r="P126" s="499"/>
      <c r="Q126" s="499"/>
      <c r="R126" s="499"/>
    </row>
    <row r="127" spans="1:20">
      <c r="B127" s="413"/>
    </row>
    <row r="128" spans="1:20">
      <c r="B128" s="413"/>
    </row>
    <row r="129" spans="1:1">
      <c r="A129" s="383" t="s">
        <v>1452</v>
      </c>
    </row>
    <row r="130" spans="1:1">
      <c r="A130" s="413" t="s">
        <v>1473</v>
      </c>
    </row>
    <row r="131" spans="1:1">
      <c r="A131" s="383" t="s">
        <v>1453</v>
      </c>
    </row>
    <row r="132" spans="1:1">
      <c r="A132" s="413"/>
    </row>
  </sheetData>
  <conditionalFormatting sqref="F60:H61">
    <cfRule type="containsText" dxfId="4" priority="3" operator="containsText" text="Check Salary">
      <formula>NOT(ISERROR(SEARCH("Check Salary",F60)))</formula>
    </cfRule>
    <cfRule type="containsText" dxfId="3" priority="4" operator="containsText" text="Check Salary">
      <formula>NOT(ISERROR(SEARCH("Check Salary",F60)))</formula>
    </cfRule>
    <cfRule type="containsText" dxfId="2" priority="5" operator="containsText" text="Check Salary ">
      <formula>NOT(ISERROR(SEARCH("Check Salary ",F60)))</formula>
    </cfRule>
  </conditionalFormatting>
  <conditionalFormatting sqref="F60:H61">
    <cfRule type="expression" dxfId="1" priority="1">
      <formula>IF($E$60="Check Salary","","")</formula>
    </cfRule>
  </conditionalFormatting>
  <dataValidations count="6">
    <dataValidation type="list" allowBlank="1" showInputMessage="1" showErrorMessage="1" sqref="E64">
      <formula1>$J$65:$J$72</formula1>
    </dataValidation>
    <dataValidation type="list" allowBlank="1" showInputMessage="1" showErrorMessage="1" sqref="E30:H30 J30:M30 O30:R30">
      <formula1>$B$21:$B$23</formula1>
    </dataValidation>
    <dataValidation type="list" allowBlank="1" showInputMessage="1" showErrorMessage="1" sqref="F9:H10 E10">
      <formula1>$AL$4:$AL$25</formula1>
    </dataValidation>
    <dataValidation type="list" allowBlank="1" showInputMessage="1" showErrorMessage="1" sqref="O29">
      <formula1>$Y$5:$Y$66</formula1>
    </dataValidation>
    <dataValidation type="list" allowBlank="1" showInputMessage="1" showErrorMessage="1" sqref="E9">
      <formula1>$AE$5:$AE$25</formula1>
    </dataValidation>
    <dataValidation type="list" allowBlank="1" showInputMessage="1" showErrorMessage="1" sqref="E29 J29">
      <formula1>$Y$5:$Y$66</formula1>
    </dataValidation>
  </dataValidations>
  <pageMargins left="0.7" right="0.7" top="0.75" bottom="0.75" header="0.3" footer="0.3"/>
  <pageSetup scale="84" orientation="landscape" r:id="rId1"/>
  <legacyDrawing r:id="rId2"/>
</worksheet>
</file>

<file path=xl/worksheets/sheet10.xml><?xml version="1.0" encoding="utf-8"?>
<worksheet xmlns="http://schemas.openxmlformats.org/spreadsheetml/2006/main" xmlns:r="http://schemas.openxmlformats.org/officeDocument/2006/relationships">
  <dimension ref="A1:H71"/>
  <sheetViews>
    <sheetView topLeftCell="A69" workbookViewId="0">
      <selection activeCell="D69" sqref="D69"/>
    </sheetView>
  </sheetViews>
  <sheetFormatPr defaultColWidth="9.109375" defaultRowHeight="14.4"/>
  <cols>
    <col min="1" max="16384" width="9.109375" style="581"/>
  </cols>
  <sheetData>
    <row r="1" spans="1:8">
      <c r="A1" s="581" t="s">
        <v>1513</v>
      </c>
    </row>
    <row r="2" spans="1:8">
      <c r="A2" s="581" t="s">
        <v>1587</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1.5562</v>
      </c>
      <c r="D7" s="581">
        <v>0.39810000000000001</v>
      </c>
      <c r="E7" s="581">
        <v>17.075500000000002</v>
      </c>
      <c r="F7" s="581">
        <v>0.6956</v>
      </c>
      <c r="G7" s="581">
        <v>1.3488</v>
      </c>
      <c r="H7" s="581">
        <v>1.2141</v>
      </c>
    </row>
    <row r="8" spans="1:8">
      <c r="A8" s="581">
        <v>2</v>
      </c>
      <c r="B8" s="581" t="s">
        <v>1521</v>
      </c>
      <c r="C8" s="581">
        <v>1.623</v>
      </c>
      <c r="D8" s="581">
        <v>0.69310000000000005</v>
      </c>
      <c r="E8" s="581">
        <v>30.526700000000002</v>
      </c>
      <c r="F8" s="581">
        <v>1.0141</v>
      </c>
      <c r="G8" s="581">
        <v>1.1819999999999999</v>
      </c>
      <c r="H8" s="581">
        <v>1.1012999999999999</v>
      </c>
    </row>
    <row r="9" spans="1:8">
      <c r="A9" s="581">
        <v>3</v>
      </c>
      <c r="B9" s="581" t="s">
        <v>1522</v>
      </c>
      <c r="C9" s="581">
        <v>1</v>
      </c>
      <c r="D9" s="581">
        <v>0</v>
      </c>
      <c r="E9" s="581">
        <v>0</v>
      </c>
      <c r="F9" s="581">
        <v>0</v>
      </c>
      <c r="G9" s="581">
        <v>0</v>
      </c>
      <c r="H9" s="581">
        <v>0</v>
      </c>
    </row>
    <row r="10" spans="1:8">
      <c r="A10" s="581">
        <v>4</v>
      </c>
      <c r="B10" s="581" t="s">
        <v>1523</v>
      </c>
      <c r="C10" s="581">
        <v>1.5660000000000001</v>
      </c>
      <c r="D10" s="581">
        <v>0.36499999999999999</v>
      </c>
      <c r="E10" s="581">
        <v>6.2526999999999999</v>
      </c>
      <c r="F10" s="581">
        <v>0.83040000000000003</v>
      </c>
      <c r="G10" s="581">
        <v>1.37</v>
      </c>
      <c r="H10" s="581">
        <v>1.5455000000000001</v>
      </c>
    </row>
    <row r="11" spans="1:8">
      <c r="A11" s="581">
        <v>5</v>
      </c>
      <c r="B11" s="581" t="s">
        <v>1524</v>
      </c>
      <c r="C11" s="581">
        <v>1</v>
      </c>
      <c r="D11" s="581">
        <v>0</v>
      </c>
      <c r="E11" s="581">
        <v>0</v>
      </c>
      <c r="F11" s="581">
        <v>0</v>
      </c>
      <c r="G11" s="581">
        <v>0</v>
      </c>
      <c r="H11" s="581">
        <v>0</v>
      </c>
    </row>
    <row r="12" spans="1:8">
      <c r="A12" s="581">
        <v>6</v>
      </c>
      <c r="B12" s="581" t="s">
        <v>1525</v>
      </c>
      <c r="C12" s="581">
        <v>1.169</v>
      </c>
      <c r="D12" s="581">
        <v>9.8400000000000001E-2</v>
      </c>
      <c r="E12" s="581">
        <v>1.3250999999999999</v>
      </c>
      <c r="F12" s="581">
        <v>0.66859999999999997</v>
      </c>
      <c r="G12" s="581">
        <v>1.4511000000000001</v>
      </c>
      <c r="H12" s="581">
        <v>2.0952999999999999</v>
      </c>
    </row>
    <row r="13" spans="1:8">
      <c r="A13" s="581">
        <v>7</v>
      </c>
      <c r="B13" s="581" t="s">
        <v>1526</v>
      </c>
      <c r="C13" s="581">
        <v>1.6135999999999999</v>
      </c>
      <c r="D13" s="581">
        <v>0.32790000000000002</v>
      </c>
      <c r="E13" s="581">
        <v>6.7272999999999996</v>
      </c>
      <c r="F13" s="581">
        <v>0.83079999999999998</v>
      </c>
      <c r="G13" s="581">
        <v>1.4628000000000001</v>
      </c>
      <c r="H13" s="581">
        <v>1.5720000000000001</v>
      </c>
    </row>
    <row r="14" spans="1:8">
      <c r="A14" s="581">
        <v>8</v>
      </c>
      <c r="B14" s="581" t="s">
        <v>1527</v>
      </c>
      <c r="C14" s="581">
        <v>1.4048</v>
      </c>
      <c r="D14" s="581">
        <v>0.15440000000000001</v>
      </c>
      <c r="E14" s="581">
        <v>3.6518000000000002</v>
      </c>
      <c r="F14" s="581">
        <v>0.50549999999999995</v>
      </c>
      <c r="G14" s="581">
        <v>1.7934000000000001</v>
      </c>
      <c r="H14" s="581">
        <v>1.6632</v>
      </c>
    </row>
    <row r="15" spans="1:8">
      <c r="A15" s="581">
        <v>9</v>
      </c>
      <c r="B15" s="581" t="s">
        <v>1528</v>
      </c>
      <c r="C15" s="581">
        <v>1.5959000000000001</v>
      </c>
      <c r="D15" s="581">
        <v>0.27810000000000001</v>
      </c>
      <c r="E15" s="581">
        <v>5.5720000000000001</v>
      </c>
      <c r="F15" s="581">
        <v>0.70189999999999997</v>
      </c>
      <c r="G15" s="581">
        <v>1.5864</v>
      </c>
      <c r="H15" s="581">
        <v>1.7022999999999999</v>
      </c>
    </row>
    <row r="16" spans="1:8">
      <c r="A16" s="581">
        <v>10</v>
      </c>
      <c r="B16" s="581" t="s">
        <v>1529</v>
      </c>
      <c r="C16" s="581">
        <v>1.3068</v>
      </c>
      <c r="D16" s="581">
        <v>9.4700000000000006E-2</v>
      </c>
      <c r="E16" s="581">
        <v>1.7733000000000001</v>
      </c>
      <c r="F16" s="581">
        <v>0.3952</v>
      </c>
      <c r="G16" s="581">
        <v>1.9691000000000001</v>
      </c>
      <c r="H16" s="581">
        <v>2.2467000000000001</v>
      </c>
    </row>
    <row r="17" spans="1:8">
      <c r="A17" s="581">
        <v>11</v>
      </c>
      <c r="B17" s="581" t="s">
        <v>1530</v>
      </c>
      <c r="C17" s="581">
        <v>1.4755</v>
      </c>
      <c r="D17" s="581">
        <v>0.18440000000000001</v>
      </c>
      <c r="E17" s="581">
        <v>3.7496</v>
      </c>
      <c r="F17" s="581">
        <v>0.64100000000000001</v>
      </c>
      <c r="G17" s="581">
        <v>1.6255999999999999</v>
      </c>
      <c r="H17" s="581">
        <v>1.7298</v>
      </c>
    </row>
    <row r="18" spans="1:8">
      <c r="A18" s="581">
        <v>12</v>
      </c>
      <c r="B18" s="581" t="s">
        <v>1531</v>
      </c>
      <c r="C18" s="581">
        <v>1.417</v>
      </c>
      <c r="D18" s="581">
        <v>0.13270000000000001</v>
      </c>
      <c r="E18" s="581">
        <v>2.4245000000000001</v>
      </c>
      <c r="F18" s="581">
        <v>0.57399999999999995</v>
      </c>
      <c r="G18" s="581">
        <v>1.9292</v>
      </c>
      <c r="H18" s="581">
        <v>2.2368000000000001</v>
      </c>
    </row>
    <row r="19" spans="1:8">
      <c r="A19" s="581">
        <v>13</v>
      </c>
      <c r="B19" s="581" t="s">
        <v>1532</v>
      </c>
      <c r="C19" s="581">
        <v>1.4241999999999999</v>
      </c>
      <c r="D19" s="581">
        <v>0.20680000000000001</v>
      </c>
      <c r="E19" s="581">
        <v>3.1846999999999999</v>
      </c>
      <c r="F19" s="581">
        <v>0.73540000000000005</v>
      </c>
      <c r="G19" s="581">
        <v>1.5129999999999999</v>
      </c>
      <c r="H19" s="581">
        <v>1.8738999999999999</v>
      </c>
    </row>
    <row r="20" spans="1:8">
      <c r="A20" s="581">
        <v>14</v>
      </c>
      <c r="B20" s="581" t="s">
        <v>1533</v>
      </c>
      <c r="C20" s="581">
        <v>1.3654999999999999</v>
      </c>
      <c r="D20" s="581">
        <v>0.15040000000000001</v>
      </c>
      <c r="E20" s="581">
        <v>2.8624000000000001</v>
      </c>
      <c r="F20" s="581">
        <v>0.62280000000000002</v>
      </c>
      <c r="G20" s="581">
        <v>1.6041000000000001</v>
      </c>
      <c r="H20" s="581">
        <v>1.7155</v>
      </c>
    </row>
    <row r="21" spans="1:8">
      <c r="A21" s="581">
        <v>15</v>
      </c>
      <c r="B21" s="581" t="s">
        <v>1534</v>
      </c>
      <c r="C21" s="581">
        <v>1.4594</v>
      </c>
      <c r="D21" s="581">
        <v>0.20150000000000001</v>
      </c>
      <c r="E21" s="581">
        <v>3.7315</v>
      </c>
      <c r="F21" s="581">
        <v>0.45679999999999998</v>
      </c>
      <c r="G21" s="581">
        <v>1.5155000000000001</v>
      </c>
      <c r="H21" s="581">
        <v>1.6735</v>
      </c>
    </row>
    <row r="22" spans="1:8">
      <c r="A22" s="581">
        <v>16</v>
      </c>
      <c r="B22" s="581" t="s">
        <v>1535</v>
      </c>
      <c r="C22" s="581">
        <v>1</v>
      </c>
      <c r="D22" s="581">
        <v>0</v>
      </c>
      <c r="E22" s="581">
        <v>0</v>
      </c>
      <c r="F22" s="581">
        <v>0</v>
      </c>
      <c r="G22" s="581">
        <v>0</v>
      </c>
      <c r="H22" s="581">
        <v>0</v>
      </c>
    </row>
    <row r="23" spans="1:8">
      <c r="A23" s="581">
        <v>17</v>
      </c>
      <c r="B23" s="581" t="s">
        <v>1536</v>
      </c>
      <c r="C23" s="581">
        <v>1.4849000000000001</v>
      </c>
      <c r="D23" s="581">
        <v>0.22819999999999999</v>
      </c>
      <c r="E23" s="581">
        <v>5.2803000000000004</v>
      </c>
      <c r="F23" s="581">
        <v>0.67420000000000002</v>
      </c>
      <c r="G23" s="581">
        <v>1.5873999999999999</v>
      </c>
      <c r="H23" s="581">
        <v>1.6095999999999999</v>
      </c>
    </row>
    <row r="24" spans="1:8">
      <c r="A24" s="581">
        <v>18</v>
      </c>
      <c r="B24" s="581" t="s">
        <v>1537</v>
      </c>
      <c r="C24" s="581">
        <v>1.4171</v>
      </c>
      <c r="D24" s="581">
        <v>0.20649999999999999</v>
      </c>
      <c r="E24" s="581">
        <v>3.7364000000000002</v>
      </c>
      <c r="F24" s="581">
        <v>0.74650000000000005</v>
      </c>
      <c r="G24" s="581">
        <v>1.4902</v>
      </c>
      <c r="H24" s="581">
        <v>1.7050000000000001</v>
      </c>
    </row>
    <row r="25" spans="1:8">
      <c r="A25" s="581">
        <v>19</v>
      </c>
      <c r="B25" s="581" t="s">
        <v>1538</v>
      </c>
      <c r="C25" s="581">
        <v>1.5321</v>
      </c>
      <c r="D25" s="581">
        <v>0.1396</v>
      </c>
      <c r="E25" s="581">
        <v>3.3361000000000001</v>
      </c>
      <c r="F25" s="581">
        <v>0.52200000000000002</v>
      </c>
      <c r="G25" s="581">
        <v>2.6255000000000002</v>
      </c>
      <c r="H25" s="581">
        <v>2.8725000000000001</v>
      </c>
    </row>
    <row r="26" spans="1:8">
      <c r="A26" s="581">
        <v>20</v>
      </c>
      <c r="B26" s="581" t="s">
        <v>1539</v>
      </c>
      <c r="C26" s="581">
        <v>1.4517</v>
      </c>
      <c r="D26" s="581">
        <v>0.29349999999999998</v>
      </c>
      <c r="E26" s="581">
        <v>6.9974999999999996</v>
      </c>
      <c r="F26" s="581">
        <v>0.54520000000000002</v>
      </c>
      <c r="G26" s="581">
        <v>1.3511</v>
      </c>
      <c r="H26" s="581">
        <v>1.3465</v>
      </c>
    </row>
    <row r="27" spans="1:8">
      <c r="A27" s="581">
        <v>21</v>
      </c>
      <c r="B27" s="581" t="s">
        <v>1540</v>
      </c>
      <c r="C27" s="581">
        <v>1.5525</v>
      </c>
      <c r="D27" s="581">
        <v>0.30399999999999999</v>
      </c>
      <c r="E27" s="581">
        <v>7.8551000000000002</v>
      </c>
      <c r="F27" s="581">
        <v>0.72889999999999999</v>
      </c>
      <c r="G27" s="581">
        <v>1.5013000000000001</v>
      </c>
      <c r="H27" s="581">
        <v>1.4486000000000001</v>
      </c>
    </row>
    <row r="28" spans="1:8">
      <c r="A28" s="581">
        <v>22</v>
      </c>
      <c r="B28" s="581" t="s">
        <v>1541</v>
      </c>
      <c r="C28" s="581">
        <v>1.3771</v>
      </c>
      <c r="D28" s="581">
        <v>0.1729</v>
      </c>
      <c r="E28" s="581">
        <v>3.1105999999999998</v>
      </c>
      <c r="F28" s="581">
        <v>0.56869999999999998</v>
      </c>
      <c r="G28" s="581">
        <v>1.5709</v>
      </c>
      <c r="H28" s="581">
        <v>1.7957000000000001</v>
      </c>
    </row>
    <row r="29" spans="1:8">
      <c r="A29" s="581">
        <v>23</v>
      </c>
      <c r="B29" s="581" t="s">
        <v>1542</v>
      </c>
      <c r="C29" s="581">
        <v>1.5224</v>
      </c>
      <c r="D29" s="581">
        <v>0.24360000000000001</v>
      </c>
      <c r="E29" s="581">
        <v>5.1395</v>
      </c>
      <c r="F29" s="581">
        <v>0.65700000000000003</v>
      </c>
      <c r="G29" s="581">
        <v>1.5884</v>
      </c>
      <c r="H29" s="581">
        <v>1.7048000000000001</v>
      </c>
    </row>
    <row r="30" spans="1:8">
      <c r="A30" s="581">
        <v>24</v>
      </c>
      <c r="B30" s="581" t="s">
        <v>1543</v>
      </c>
      <c r="C30" s="581">
        <v>1.1499999999999999</v>
      </c>
      <c r="D30" s="581">
        <v>8.8400000000000006E-2</v>
      </c>
      <c r="E30" s="581">
        <v>1.1744000000000001</v>
      </c>
      <c r="F30" s="581">
        <v>0.28079999999999999</v>
      </c>
      <c r="G30" s="581">
        <v>1.3372999999999999</v>
      </c>
      <c r="H30" s="581">
        <v>1.6893</v>
      </c>
    </row>
    <row r="31" spans="1:8">
      <c r="A31" s="581">
        <v>25</v>
      </c>
      <c r="B31" s="581" t="s">
        <v>1544</v>
      </c>
      <c r="C31" s="581">
        <v>1.5526</v>
      </c>
      <c r="D31" s="581">
        <v>0.14449999999999999</v>
      </c>
      <c r="E31" s="581">
        <v>2.1126999999999998</v>
      </c>
      <c r="F31" s="581">
        <v>0.59379999999999999</v>
      </c>
      <c r="G31" s="581">
        <v>2.1465000000000001</v>
      </c>
      <c r="H31" s="581">
        <v>3.3214000000000001</v>
      </c>
    </row>
    <row r="32" spans="1:8">
      <c r="A32" s="581">
        <v>26</v>
      </c>
      <c r="B32" s="581" t="s">
        <v>1545</v>
      </c>
      <c r="C32" s="581">
        <v>1.6026</v>
      </c>
      <c r="D32" s="581">
        <v>0.14199999999999999</v>
      </c>
      <c r="E32" s="581">
        <v>2.7785000000000002</v>
      </c>
      <c r="F32" s="581">
        <v>0.59909999999999997</v>
      </c>
      <c r="G32" s="581">
        <v>2.1232000000000002</v>
      </c>
      <c r="H32" s="581">
        <v>2.1044</v>
      </c>
    </row>
    <row r="33" spans="1:8">
      <c r="A33" s="581">
        <v>27</v>
      </c>
      <c r="B33" s="581" t="s">
        <v>1546</v>
      </c>
      <c r="C33" s="581">
        <v>1.4147000000000001</v>
      </c>
      <c r="D33" s="581">
        <v>0.2414</v>
      </c>
      <c r="E33" s="581">
        <v>4.0525000000000002</v>
      </c>
      <c r="F33" s="581">
        <v>0.8891</v>
      </c>
      <c r="G33" s="581">
        <v>1.4691000000000001</v>
      </c>
      <c r="H33" s="581">
        <v>1.8509</v>
      </c>
    </row>
    <row r="34" spans="1:8">
      <c r="A34" s="581">
        <v>28</v>
      </c>
      <c r="B34" s="581" t="s">
        <v>1547</v>
      </c>
      <c r="C34" s="581">
        <v>1.3849</v>
      </c>
      <c r="D34" s="581">
        <v>0.26729999999999998</v>
      </c>
      <c r="E34" s="581">
        <v>8.7379999999999995</v>
      </c>
      <c r="F34" s="581">
        <v>0.89770000000000005</v>
      </c>
      <c r="G34" s="581">
        <v>1.3519000000000001</v>
      </c>
      <c r="H34" s="581">
        <v>1.2561</v>
      </c>
    </row>
    <row r="35" spans="1:8">
      <c r="A35" s="581">
        <v>29</v>
      </c>
      <c r="B35" s="581" t="s">
        <v>1548</v>
      </c>
      <c r="C35" s="581">
        <v>1.5609999999999999</v>
      </c>
      <c r="D35" s="581">
        <v>0.154</v>
      </c>
      <c r="E35" s="581">
        <v>2.9727999999999999</v>
      </c>
      <c r="F35" s="581">
        <v>0.60840000000000005</v>
      </c>
      <c r="G35" s="581">
        <v>2.0758999999999999</v>
      </c>
      <c r="H35" s="581">
        <v>2.3746999999999998</v>
      </c>
    </row>
    <row r="36" spans="1:8">
      <c r="A36" s="581">
        <v>30</v>
      </c>
      <c r="B36" s="581" t="s">
        <v>1549</v>
      </c>
      <c r="C36" s="581">
        <v>1.5965</v>
      </c>
      <c r="D36" s="581">
        <v>0.21160000000000001</v>
      </c>
      <c r="E36" s="581">
        <v>3.6415000000000002</v>
      </c>
      <c r="F36" s="581">
        <v>0.70689999999999997</v>
      </c>
      <c r="G36" s="581">
        <v>1.8149999999999999</v>
      </c>
      <c r="H36" s="581">
        <v>2.3001999999999998</v>
      </c>
    </row>
    <row r="37" spans="1:8">
      <c r="A37" s="581">
        <v>31</v>
      </c>
      <c r="B37" s="581" t="s">
        <v>1550</v>
      </c>
      <c r="C37" s="581">
        <v>1.5004</v>
      </c>
      <c r="D37" s="581">
        <v>0.24679999999999999</v>
      </c>
      <c r="E37" s="581">
        <v>3.6413000000000002</v>
      </c>
      <c r="F37" s="581">
        <v>0.62690000000000001</v>
      </c>
      <c r="G37" s="581">
        <v>1.5282</v>
      </c>
      <c r="H37" s="581">
        <v>2.1522000000000001</v>
      </c>
    </row>
    <row r="38" spans="1:8">
      <c r="A38" s="581">
        <v>32</v>
      </c>
      <c r="B38" s="581" t="s">
        <v>1551</v>
      </c>
      <c r="C38" s="581">
        <v>1.6144000000000001</v>
      </c>
      <c r="D38" s="581">
        <v>0.23430000000000001</v>
      </c>
      <c r="E38" s="581">
        <v>5.1112000000000002</v>
      </c>
      <c r="F38" s="581">
        <v>0.72819999999999996</v>
      </c>
      <c r="G38" s="581">
        <v>1.7121</v>
      </c>
      <c r="H38" s="581">
        <v>1.8153999999999999</v>
      </c>
    </row>
    <row r="39" spans="1:8">
      <c r="A39" s="581">
        <v>33</v>
      </c>
      <c r="B39" s="581" t="s">
        <v>1552</v>
      </c>
      <c r="C39" s="581">
        <v>1.6798999999999999</v>
      </c>
      <c r="D39" s="581">
        <v>0.47920000000000001</v>
      </c>
      <c r="E39" s="581">
        <v>18.008800000000001</v>
      </c>
      <c r="F39" s="581">
        <v>0.87719999999999998</v>
      </c>
      <c r="G39" s="581">
        <v>1.276</v>
      </c>
      <c r="H39" s="581">
        <v>1.1577999999999999</v>
      </c>
    </row>
    <row r="40" spans="1:8">
      <c r="A40" s="581">
        <v>34</v>
      </c>
      <c r="B40" s="581" t="s">
        <v>1553</v>
      </c>
      <c r="C40" s="581">
        <v>1.4573</v>
      </c>
      <c r="D40" s="581">
        <v>0.24840000000000001</v>
      </c>
      <c r="E40" s="581">
        <v>3.8041999999999998</v>
      </c>
      <c r="F40" s="581">
        <v>0.74099999999999999</v>
      </c>
      <c r="G40" s="581">
        <v>1.5185</v>
      </c>
      <c r="H40" s="581">
        <v>2.133</v>
      </c>
    </row>
    <row r="41" spans="1:8">
      <c r="A41" s="581">
        <v>35</v>
      </c>
      <c r="B41" s="581" t="s">
        <v>1554</v>
      </c>
      <c r="C41" s="581">
        <v>1.4281999999999999</v>
      </c>
      <c r="D41" s="581">
        <v>0.34320000000000001</v>
      </c>
      <c r="E41" s="581">
        <v>7.3951000000000002</v>
      </c>
      <c r="F41" s="581">
        <v>0.91300000000000003</v>
      </c>
      <c r="G41" s="581">
        <v>1.2825</v>
      </c>
      <c r="H41" s="581">
        <v>1.3620000000000001</v>
      </c>
    </row>
    <row r="42" spans="1:8">
      <c r="A42" s="581">
        <v>36</v>
      </c>
      <c r="B42" s="581" t="s">
        <v>1555</v>
      </c>
      <c r="C42" s="581">
        <v>1.3994</v>
      </c>
      <c r="D42" s="581">
        <v>0.27339999999999998</v>
      </c>
      <c r="E42" s="581">
        <v>6.4854000000000003</v>
      </c>
      <c r="F42" s="581">
        <v>0.93</v>
      </c>
      <c r="G42" s="581">
        <v>1.3601000000000001</v>
      </c>
      <c r="H42" s="581">
        <v>1.4079999999999999</v>
      </c>
    </row>
    <row r="43" spans="1:8">
      <c r="A43" s="581">
        <v>37</v>
      </c>
      <c r="B43" s="581" t="s">
        <v>1556</v>
      </c>
      <c r="C43" s="581">
        <v>1.6057999999999999</v>
      </c>
      <c r="D43" s="581">
        <v>0.29320000000000002</v>
      </c>
      <c r="E43" s="581">
        <v>5.3246000000000002</v>
      </c>
      <c r="F43" s="581">
        <v>0.7762</v>
      </c>
      <c r="G43" s="581">
        <v>1.6123000000000001</v>
      </c>
      <c r="H43" s="581">
        <v>1.9942</v>
      </c>
    </row>
    <row r="44" spans="1:8">
      <c r="A44" s="581">
        <v>38</v>
      </c>
      <c r="B44" s="581" t="s">
        <v>1557</v>
      </c>
      <c r="C44" s="581">
        <v>1.2257</v>
      </c>
      <c r="D44" s="581">
        <v>8.8099999999999998E-2</v>
      </c>
      <c r="E44" s="581">
        <v>2.3692000000000002</v>
      </c>
      <c r="F44" s="581">
        <v>0.73219999999999996</v>
      </c>
      <c r="G44" s="581">
        <v>1.8934</v>
      </c>
      <c r="H44" s="581">
        <v>1.7577</v>
      </c>
    </row>
    <row r="45" spans="1:8">
      <c r="A45" s="581">
        <v>39</v>
      </c>
      <c r="B45" s="581" t="s">
        <v>1558</v>
      </c>
      <c r="C45" s="581">
        <v>1</v>
      </c>
      <c r="D45" s="581">
        <v>0</v>
      </c>
      <c r="E45" s="581">
        <v>0</v>
      </c>
      <c r="F45" s="581">
        <v>0</v>
      </c>
      <c r="G45" s="581">
        <v>0</v>
      </c>
      <c r="H45" s="581">
        <v>0</v>
      </c>
    </row>
    <row r="46" spans="1:8">
      <c r="A46" s="581">
        <v>40</v>
      </c>
      <c r="B46" s="581" t="s">
        <v>1559</v>
      </c>
      <c r="C46" s="581">
        <v>1.3321000000000001</v>
      </c>
      <c r="D46" s="581">
        <v>9.5799999999999996E-2</v>
      </c>
      <c r="E46" s="581">
        <v>1.7459</v>
      </c>
      <c r="F46" s="581">
        <v>0.74180000000000001</v>
      </c>
      <c r="G46" s="581">
        <v>2.2604000000000002</v>
      </c>
      <c r="H46" s="581">
        <v>3.2583000000000002</v>
      </c>
    </row>
    <row r="47" spans="1:8">
      <c r="A47" s="581">
        <v>41</v>
      </c>
      <c r="B47" s="581" t="s">
        <v>1560</v>
      </c>
      <c r="C47" s="581">
        <v>1.4257</v>
      </c>
      <c r="D47" s="581">
        <v>0.17269999999999999</v>
      </c>
      <c r="E47" s="581">
        <v>3.1187999999999998</v>
      </c>
      <c r="F47" s="581">
        <v>0.72440000000000004</v>
      </c>
      <c r="G47" s="581">
        <v>1.8459000000000001</v>
      </c>
      <c r="H47" s="581">
        <v>2.7785000000000002</v>
      </c>
    </row>
    <row r="48" spans="1:8">
      <c r="A48" s="581">
        <v>42</v>
      </c>
      <c r="B48" s="581" t="s">
        <v>1561</v>
      </c>
      <c r="C48" s="581">
        <v>1.4616</v>
      </c>
      <c r="D48" s="581">
        <v>0.24030000000000001</v>
      </c>
      <c r="E48" s="581">
        <v>4.5391000000000004</v>
      </c>
      <c r="F48" s="581">
        <v>0.75919999999999999</v>
      </c>
      <c r="G48" s="581">
        <v>1.5940000000000001</v>
      </c>
      <c r="H48" s="581">
        <v>1.9758</v>
      </c>
    </row>
    <row r="49" spans="1:8">
      <c r="A49" s="581">
        <v>43</v>
      </c>
      <c r="B49" s="581" t="s">
        <v>1562</v>
      </c>
      <c r="C49" s="581">
        <v>1.5589999999999999</v>
      </c>
      <c r="D49" s="581">
        <v>0.50370000000000004</v>
      </c>
      <c r="E49" s="581">
        <v>8.1088000000000005</v>
      </c>
      <c r="F49" s="581">
        <v>0.8609</v>
      </c>
      <c r="G49" s="581">
        <v>1.2598</v>
      </c>
      <c r="H49" s="581">
        <v>1.4822</v>
      </c>
    </row>
    <row r="50" spans="1:8">
      <c r="A50" s="581">
        <v>44</v>
      </c>
      <c r="B50" s="581" t="s">
        <v>1563</v>
      </c>
      <c r="C50" s="581">
        <v>1.3691</v>
      </c>
      <c r="D50" s="581">
        <v>0.3206</v>
      </c>
      <c r="E50" s="581">
        <v>5.0400999999999998</v>
      </c>
      <c r="F50" s="581">
        <v>0.89</v>
      </c>
      <c r="G50" s="581">
        <v>1.2994000000000001</v>
      </c>
      <c r="H50" s="581">
        <v>1.5445</v>
      </c>
    </row>
    <row r="51" spans="1:8">
      <c r="A51" s="581">
        <v>45</v>
      </c>
      <c r="B51" s="581" t="s">
        <v>1564</v>
      </c>
      <c r="C51" s="581">
        <v>1.2879</v>
      </c>
      <c r="D51" s="581">
        <v>0.21249999999999999</v>
      </c>
      <c r="E51" s="581">
        <v>2.8610000000000002</v>
      </c>
      <c r="F51" s="581">
        <v>0.60840000000000005</v>
      </c>
      <c r="G51" s="581">
        <v>1.3498000000000001</v>
      </c>
      <c r="H51" s="581">
        <v>1.7984</v>
      </c>
    </row>
    <row r="52" spans="1:8">
      <c r="A52" s="581">
        <v>46</v>
      </c>
      <c r="B52" s="581" t="s">
        <v>1565</v>
      </c>
      <c r="C52" s="581">
        <v>1.22</v>
      </c>
      <c r="D52" s="581">
        <v>5.5100000000000003E-2</v>
      </c>
      <c r="E52" s="581">
        <v>2.3879999999999999</v>
      </c>
      <c r="F52" s="581">
        <v>0.81640000000000001</v>
      </c>
      <c r="G52" s="581">
        <v>3.2909000000000002</v>
      </c>
      <c r="H52" s="581">
        <v>1.6088</v>
      </c>
    </row>
    <row r="53" spans="1:8">
      <c r="A53" s="581">
        <v>47</v>
      </c>
      <c r="B53" s="581" t="s">
        <v>1566</v>
      </c>
      <c r="C53" s="581">
        <v>1.4782</v>
      </c>
      <c r="D53" s="581">
        <v>0.1671</v>
      </c>
      <c r="E53" s="581">
        <v>3.2475999999999998</v>
      </c>
      <c r="F53" s="581">
        <v>0.9274</v>
      </c>
      <c r="G53" s="581">
        <v>2.1238000000000001</v>
      </c>
      <c r="H53" s="581">
        <v>2.7277</v>
      </c>
    </row>
    <row r="54" spans="1:8">
      <c r="A54" s="581">
        <v>48</v>
      </c>
      <c r="B54" s="581" t="s">
        <v>1567</v>
      </c>
      <c r="C54" s="581">
        <v>1.4543999999999999</v>
      </c>
      <c r="D54" s="581">
        <v>0.3276</v>
      </c>
      <c r="E54" s="581">
        <v>5.6993</v>
      </c>
      <c r="F54" s="581">
        <v>0.94159999999999999</v>
      </c>
      <c r="G54" s="581">
        <v>1.3609</v>
      </c>
      <c r="H54" s="581">
        <v>1.6574</v>
      </c>
    </row>
    <row r="55" spans="1:8">
      <c r="A55" s="581">
        <v>49</v>
      </c>
      <c r="B55" s="581" t="s">
        <v>1568</v>
      </c>
      <c r="C55" s="581">
        <v>1.4181999999999999</v>
      </c>
      <c r="D55" s="581">
        <v>0.31059999999999999</v>
      </c>
      <c r="E55" s="581">
        <v>3.8182999999999998</v>
      </c>
      <c r="F55" s="581">
        <v>0.89570000000000005</v>
      </c>
      <c r="G55" s="581">
        <v>1.3360000000000001</v>
      </c>
      <c r="H55" s="581">
        <v>1.9838</v>
      </c>
    </row>
    <row r="56" spans="1:8">
      <c r="A56" s="581">
        <v>50</v>
      </c>
      <c r="B56" s="581" t="s">
        <v>1569</v>
      </c>
      <c r="C56" s="581">
        <v>1.4887999999999999</v>
      </c>
      <c r="D56" s="581">
        <v>0.3876</v>
      </c>
      <c r="E56" s="581">
        <v>13.6593</v>
      </c>
      <c r="F56" s="581">
        <v>0.91169999999999995</v>
      </c>
      <c r="G56" s="581">
        <v>1.2905</v>
      </c>
      <c r="H56" s="581">
        <v>1.2065999999999999</v>
      </c>
    </row>
    <row r="57" spans="1:8">
      <c r="A57" s="581">
        <v>51</v>
      </c>
      <c r="B57" s="581" t="s">
        <v>1570</v>
      </c>
      <c r="C57" s="581">
        <v>1.6214999999999999</v>
      </c>
      <c r="D57" s="581">
        <v>0.37969999999999998</v>
      </c>
      <c r="E57" s="581">
        <v>7.3311000000000002</v>
      </c>
      <c r="F57" s="581">
        <v>0.86399999999999999</v>
      </c>
      <c r="G57" s="581">
        <v>1.4729000000000001</v>
      </c>
      <c r="H57" s="581">
        <v>1.6603000000000001</v>
      </c>
    </row>
    <row r="58" spans="1:8">
      <c r="A58" s="581">
        <v>52</v>
      </c>
      <c r="B58" s="581" t="s">
        <v>1571</v>
      </c>
      <c r="C58" s="581">
        <v>1.4876</v>
      </c>
      <c r="D58" s="581">
        <v>0.435</v>
      </c>
      <c r="E58" s="581">
        <v>14.407400000000001</v>
      </c>
      <c r="F58" s="581">
        <v>0.93640000000000001</v>
      </c>
      <c r="G58" s="581">
        <v>1.2513000000000001</v>
      </c>
      <c r="H58" s="581">
        <v>1.1921999999999999</v>
      </c>
    </row>
    <row r="59" spans="1:8">
      <c r="A59" s="581">
        <v>53</v>
      </c>
      <c r="B59" s="581" t="s">
        <v>1572</v>
      </c>
      <c r="C59" s="581">
        <v>1.5057</v>
      </c>
      <c r="D59" s="581">
        <v>0.40429999999999999</v>
      </c>
      <c r="E59" s="581">
        <v>7.7416</v>
      </c>
      <c r="F59" s="581">
        <v>0.93120000000000003</v>
      </c>
      <c r="G59" s="581">
        <v>1.3136000000000001</v>
      </c>
      <c r="H59" s="581">
        <v>1.4778</v>
      </c>
    </row>
    <row r="60" spans="1:8">
      <c r="A60" s="581">
        <v>54</v>
      </c>
      <c r="B60" s="581" t="s">
        <v>1573</v>
      </c>
      <c r="C60" s="581">
        <v>1.5056</v>
      </c>
      <c r="D60" s="581">
        <v>0.36680000000000001</v>
      </c>
      <c r="E60" s="581">
        <v>7.3484999999999996</v>
      </c>
      <c r="F60" s="581">
        <v>0.82930000000000004</v>
      </c>
      <c r="G60" s="581">
        <v>1.3233999999999999</v>
      </c>
      <c r="H60" s="581">
        <v>1.4599</v>
      </c>
    </row>
    <row r="61" spans="1:8">
      <c r="A61" s="581">
        <v>55</v>
      </c>
      <c r="B61" s="581" t="s">
        <v>1574</v>
      </c>
      <c r="C61" s="581">
        <v>1.4701</v>
      </c>
      <c r="D61" s="581">
        <v>0.41660000000000003</v>
      </c>
      <c r="E61" s="581">
        <v>12.526199999999999</v>
      </c>
      <c r="F61" s="581">
        <v>0.94530000000000003</v>
      </c>
      <c r="G61" s="581">
        <v>1.2539</v>
      </c>
      <c r="H61" s="581">
        <v>1.2234</v>
      </c>
    </row>
    <row r="62" spans="1:8">
      <c r="A62" s="581">
        <v>56</v>
      </c>
      <c r="B62" s="581" t="s">
        <v>1575</v>
      </c>
      <c r="C62" s="581">
        <v>1.4846999999999999</v>
      </c>
      <c r="D62" s="581">
        <v>0.42109999999999997</v>
      </c>
      <c r="E62" s="581">
        <v>17.565899999999999</v>
      </c>
      <c r="F62" s="581">
        <v>0.92200000000000004</v>
      </c>
      <c r="G62" s="581">
        <v>1.2665999999999999</v>
      </c>
      <c r="H62" s="581">
        <v>1.1578999999999999</v>
      </c>
    </row>
    <row r="63" spans="1:8">
      <c r="A63" s="581">
        <v>57</v>
      </c>
      <c r="B63" s="581" t="s">
        <v>1576</v>
      </c>
      <c r="C63" s="581">
        <v>1.4004000000000001</v>
      </c>
      <c r="D63" s="581">
        <v>0.35220000000000001</v>
      </c>
      <c r="E63" s="581">
        <v>11.9885</v>
      </c>
      <c r="F63" s="581">
        <v>0.84079999999999999</v>
      </c>
      <c r="G63" s="581">
        <v>1.2839</v>
      </c>
      <c r="H63" s="581">
        <v>1.212</v>
      </c>
    </row>
    <row r="64" spans="1:8">
      <c r="A64" s="581">
        <v>58</v>
      </c>
      <c r="B64" s="581" t="s">
        <v>1577</v>
      </c>
      <c r="C64" s="581">
        <v>1.3322000000000001</v>
      </c>
      <c r="D64" s="581">
        <v>0.19120000000000001</v>
      </c>
      <c r="E64" s="581">
        <v>8.4466999999999999</v>
      </c>
      <c r="F64" s="581">
        <v>0.84350000000000003</v>
      </c>
      <c r="G64" s="581">
        <v>1.4314</v>
      </c>
      <c r="H64" s="581">
        <v>1.2039</v>
      </c>
    </row>
    <row r="65" spans="1:8">
      <c r="A65" s="581">
        <v>59</v>
      </c>
      <c r="B65" s="581" t="s">
        <v>1578</v>
      </c>
      <c r="C65" s="581">
        <v>1.4773000000000001</v>
      </c>
      <c r="D65" s="581">
        <v>0.26889999999999997</v>
      </c>
      <c r="E65" s="581">
        <v>7.1534000000000004</v>
      </c>
      <c r="F65" s="581">
        <v>0.82250000000000001</v>
      </c>
      <c r="G65" s="581">
        <v>1.5062</v>
      </c>
      <c r="H65" s="581">
        <v>1.48</v>
      </c>
    </row>
    <row r="66" spans="1:8">
      <c r="A66" s="581">
        <v>60</v>
      </c>
      <c r="B66" s="581" t="s">
        <v>1579</v>
      </c>
      <c r="C66" s="581">
        <v>1.4574</v>
      </c>
      <c r="D66" s="581">
        <v>0.312</v>
      </c>
      <c r="E66" s="581">
        <v>14.562799999999999</v>
      </c>
      <c r="F66" s="581">
        <v>0.80010000000000003</v>
      </c>
      <c r="G66" s="581">
        <v>1.3367</v>
      </c>
      <c r="H66" s="581">
        <v>1.1556999999999999</v>
      </c>
    </row>
    <row r="67" spans="1:8">
      <c r="A67" s="581">
        <v>61</v>
      </c>
      <c r="B67" s="581" t="s">
        <v>1580</v>
      </c>
      <c r="C67" s="581">
        <v>1.5724</v>
      </c>
      <c r="D67" s="581">
        <v>0.42620000000000002</v>
      </c>
      <c r="E67" s="581">
        <v>10.7964</v>
      </c>
      <c r="F67" s="581">
        <v>0.8881</v>
      </c>
      <c r="G67" s="581">
        <v>1.331</v>
      </c>
      <c r="H67" s="581">
        <v>1.3294999999999999</v>
      </c>
    </row>
    <row r="68" spans="1:8">
      <c r="A68" s="581">
        <v>62</v>
      </c>
      <c r="B68" s="581" t="s">
        <v>1581</v>
      </c>
      <c r="C68" s="581">
        <v>0.75149999999999995</v>
      </c>
      <c r="D68" s="581">
        <v>0.13789999999999999</v>
      </c>
      <c r="E68" s="581">
        <v>3.9329999999999998</v>
      </c>
      <c r="F68" s="581">
        <v>0.44740000000000002</v>
      </c>
      <c r="G68" s="581">
        <v>0</v>
      </c>
      <c r="H68" s="581">
        <v>0</v>
      </c>
    </row>
    <row r="70" spans="1:8">
      <c r="C70" s="581">
        <f>SUM(C6:C68)</f>
        <v>88.049500000000023</v>
      </c>
      <c r="D70" s="581">
        <f t="shared" ref="D70:H70" si="0">SUM(D6:D68)</f>
        <v>15.235100000000001</v>
      </c>
      <c r="E70" s="581">
        <f t="shared" si="0"/>
        <v>379.95050000000003</v>
      </c>
      <c r="F70" s="581">
        <f t="shared" si="0"/>
        <v>43.163200000000003</v>
      </c>
      <c r="G70" s="581">
        <f t="shared" si="0"/>
        <v>90.350099999999983</v>
      </c>
      <c r="H70" s="581">
        <f t="shared" si="0"/>
        <v>100.1045</v>
      </c>
    </row>
    <row r="71" spans="1:8">
      <c r="C71" s="581">
        <f>C70-SUM(gloucester!B2:B63)</f>
        <v>0</v>
      </c>
      <c r="D71" s="581">
        <f>D70-SUM(gloucester!C2:C63)</f>
        <v>0</v>
      </c>
      <c r="E71" s="581">
        <f>E70-SUM(gloucester!D2:D63)</f>
        <v>0</v>
      </c>
      <c r="F71" s="581">
        <f>F70-SUM(gloucester!E2:E63)</f>
        <v>0</v>
      </c>
      <c r="G71" s="581">
        <f>G70-SUM(gloucester!F2:F63)</f>
        <v>0</v>
      </c>
      <c r="H71" s="581">
        <f>H70-SUM(gloucester!G2:G63)</f>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H71"/>
  <sheetViews>
    <sheetView topLeftCell="A69" workbookViewId="0">
      <selection activeCell="C71" sqref="C71"/>
    </sheetView>
  </sheetViews>
  <sheetFormatPr defaultColWidth="9.109375" defaultRowHeight="14.4"/>
  <cols>
    <col min="1" max="16384" width="9.109375" style="581"/>
  </cols>
  <sheetData>
    <row r="1" spans="1:8">
      <c r="A1" s="581" t="s">
        <v>1513</v>
      </c>
    </row>
    <row r="2" spans="1:8">
      <c r="A2" s="581" t="s">
        <v>1586</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1.3689</v>
      </c>
      <c r="D7" s="581">
        <v>0.30259999999999998</v>
      </c>
      <c r="E7" s="581">
        <v>13.439</v>
      </c>
      <c r="F7" s="581">
        <v>0.61699999999999999</v>
      </c>
      <c r="G7" s="581">
        <v>1.1778999999999999</v>
      </c>
      <c r="H7" s="581">
        <v>1.0976999999999999</v>
      </c>
    </row>
    <row r="8" spans="1:8">
      <c r="A8" s="581">
        <v>2</v>
      </c>
      <c r="B8" s="581" t="s">
        <v>1521</v>
      </c>
      <c r="C8" s="581">
        <v>1</v>
      </c>
      <c r="D8" s="581">
        <v>0</v>
      </c>
      <c r="E8" s="581">
        <v>0</v>
      </c>
      <c r="F8" s="581">
        <v>0</v>
      </c>
      <c r="G8" s="581">
        <v>0</v>
      </c>
      <c r="H8" s="581">
        <v>0</v>
      </c>
    </row>
    <row r="9" spans="1:8">
      <c r="A9" s="581">
        <v>3</v>
      </c>
      <c r="B9" s="581" t="s">
        <v>1522</v>
      </c>
      <c r="C9" s="581">
        <v>1.2835000000000001</v>
      </c>
      <c r="D9" s="581">
        <v>0.16370000000000001</v>
      </c>
      <c r="E9" s="581">
        <v>4.1738</v>
      </c>
      <c r="F9" s="581">
        <v>0.79810000000000003</v>
      </c>
      <c r="G9" s="581">
        <v>1.2778</v>
      </c>
      <c r="H9" s="581">
        <v>1.2478</v>
      </c>
    </row>
    <row r="10" spans="1:8">
      <c r="A10" s="581">
        <v>4</v>
      </c>
      <c r="B10" s="581" t="s">
        <v>1523</v>
      </c>
      <c r="C10" s="581">
        <v>1.4359</v>
      </c>
      <c r="D10" s="581">
        <v>0.1527</v>
      </c>
      <c r="E10" s="581">
        <v>2.6739999999999999</v>
      </c>
      <c r="F10" s="581">
        <v>0.76749999999999996</v>
      </c>
      <c r="G10" s="581">
        <v>1.5456000000000001</v>
      </c>
      <c r="H10" s="581">
        <v>1.7828999999999999</v>
      </c>
    </row>
    <row r="11" spans="1:8">
      <c r="A11" s="581">
        <v>5</v>
      </c>
      <c r="B11" s="581" t="s">
        <v>1524</v>
      </c>
      <c r="C11" s="581">
        <v>1</v>
      </c>
      <c r="D11" s="581">
        <v>0</v>
      </c>
      <c r="E11" s="581">
        <v>0</v>
      </c>
      <c r="F11" s="581">
        <v>0</v>
      </c>
      <c r="G11" s="581">
        <v>0</v>
      </c>
      <c r="H11" s="581">
        <v>0</v>
      </c>
    </row>
    <row r="12" spans="1:8">
      <c r="A12" s="581">
        <v>6</v>
      </c>
      <c r="B12" s="581" t="s">
        <v>1525</v>
      </c>
      <c r="C12" s="581">
        <v>1.127</v>
      </c>
      <c r="D12" s="581">
        <v>5.5800000000000002E-2</v>
      </c>
      <c r="E12" s="581">
        <v>0.76439999999999997</v>
      </c>
      <c r="F12" s="581">
        <v>0.65039999999999998</v>
      </c>
      <c r="G12" s="581">
        <v>1.4319999999999999</v>
      </c>
      <c r="H12" s="581">
        <v>2.1032999999999999</v>
      </c>
    </row>
    <row r="13" spans="1:8">
      <c r="A13" s="581">
        <v>7</v>
      </c>
      <c r="B13" s="581" t="s">
        <v>1526</v>
      </c>
      <c r="C13" s="581">
        <v>1.476</v>
      </c>
      <c r="D13" s="581">
        <v>0.19869999999999999</v>
      </c>
      <c r="E13" s="581">
        <v>4.1085000000000003</v>
      </c>
      <c r="F13" s="581">
        <v>0.77459999999999996</v>
      </c>
      <c r="G13" s="581">
        <v>1.4418</v>
      </c>
      <c r="H13" s="581">
        <v>1.5618000000000001</v>
      </c>
    </row>
    <row r="14" spans="1:8">
      <c r="A14" s="581">
        <v>8</v>
      </c>
      <c r="B14" s="581" t="s">
        <v>1527</v>
      </c>
      <c r="C14" s="581">
        <v>1.4726999999999999</v>
      </c>
      <c r="D14" s="581">
        <v>0.156</v>
      </c>
      <c r="E14" s="581">
        <v>3.7972999999999999</v>
      </c>
      <c r="F14" s="581">
        <v>0.54900000000000004</v>
      </c>
      <c r="G14" s="581">
        <v>1.5782</v>
      </c>
      <c r="H14" s="581">
        <v>1.5067999999999999</v>
      </c>
    </row>
    <row r="15" spans="1:8">
      <c r="A15" s="581">
        <v>9</v>
      </c>
      <c r="B15" s="581" t="s">
        <v>1528</v>
      </c>
      <c r="C15" s="581">
        <v>1.4642999999999999</v>
      </c>
      <c r="D15" s="581">
        <v>0.11940000000000001</v>
      </c>
      <c r="E15" s="581">
        <v>2.3948999999999998</v>
      </c>
      <c r="F15" s="581">
        <v>0.63719999999999999</v>
      </c>
      <c r="G15" s="581">
        <v>1.7706999999999999</v>
      </c>
      <c r="H15" s="581">
        <v>1.9012</v>
      </c>
    </row>
    <row r="16" spans="1:8">
      <c r="A16" s="581">
        <v>10</v>
      </c>
      <c r="B16" s="581" t="s">
        <v>1529</v>
      </c>
      <c r="C16" s="581">
        <v>1.4475</v>
      </c>
      <c r="D16" s="581">
        <v>9.5799999999999996E-2</v>
      </c>
      <c r="E16" s="581">
        <v>1.8039000000000001</v>
      </c>
      <c r="F16" s="581">
        <v>0.45910000000000001</v>
      </c>
      <c r="G16" s="581">
        <v>1.9649000000000001</v>
      </c>
      <c r="H16" s="581">
        <v>2.2555000000000001</v>
      </c>
    </row>
    <row r="17" spans="1:8">
      <c r="A17" s="581">
        <v>11</v>
      </c>
      <c r="B17" s="581" t="s">
        <v>1530</v>
      </c>
      <c r="C17" s="581">
        <v>1.4839</v>
      </c>
      <c r="D17" s="581">
        <v>0.13850000000000001</v>
      </c>
      <c r="E17" s="581">
        <v>2.8129</v>
      </c>
      <c r="F17" s="581">
        <v>0.66159999999999997</v>
      </c>
      <c r="G17" s="581">
        <v>1.6442000000000001</v>
      </c>
      <c r="H17" s="581">
        <v>1.7466999999999999</v>
      </c>
    </row>
    <row r="18" spans="1:8">
      <c r="A18" s="581">
        <v>12</v>
      </c>
      <c r="B18" s="581" t="s">
        <v>1531</v>
      </c>
      <c r="C18" s="581">
        <v>1.4821</v>
      </c>
      <c r="D18" s="581">
        <v>0.1188</v>
      </c>
      <c r="E18" s="581">
        <v>2.1455000000000002</v>
      </c>
      <c r="F18" s="581">
        <v>0.61890000000000001</v>
      </c>
      <c r="G18" s="581">
        <v>1.8253999999999999</v>
      </c>
      <c r="H18" s="581">
        <v>2.0909</v>
      </c>
    </row>
    <row r="19" spans="1:8">
      <c r="A19" s="581">
        <v>13</v>
      </c>
      <c r="B19" s="581" t="s">
        <v>1532</v>
      </c>
      <c r="C19" s="581">
        <v>1.4866999999999999</v>
      </c>
      <c r="D19" s="581">
        <v>0.14099999999999999</v>
      </c>
      <c r="E19" s="581">
        <v>2.1846000000000001</v>
      </c>
      <c r="F19" s="581">
        <v>0.77549999999999997</v>
      </c>
      <c r="G19" s="581">
        <v>1.6534</v>
      </c>
      <c r="H19" s="581">
        <v>2.0602</v>
      </c>
    </row>
    <row r="20" spans="1:8">
      <c r="A20" s="581">
        <v>14</v>
      </c>
      <c r="B20" s="581" t="s">
        <v>1533</v>
      </c>
      <c r="C20" s="581">
        <v>1.3986000000000001</v>
      </c>
      <c r="D20" s="581">
        <v>9.9500000000000005E-2</v>
      </c>
      <c r="E20" s="581">
        <v>1.897</v>
      </c>
      <c r="F20" s="581">
        <v>0.64200000000000002</v>
      </c>
      <c r="G20" s="581">
        <v>1.7786999999999999</v>
      </c>
      <c r="H20" s="581">
        <v>1.9068000000000001</v>
      </c>
    </row>
    <row r="21" spans="1:8">
      <c r="A21" s="581">
        <v>15</v>
      </c>
      <c r="B21" s="581" t="s">
        <v>1534</v>
      </c>
      <c r="C21" s="581">
        <v>1.4489000000000001</v>
      </c>
      <c r="D21" s="581">
        <v>9.6500000000000002E-2</v>
      </c>
      <c r="E21" s="581">
        <v>1.8050999999999999</v>
      </c>
      <c r="F21" s="581">
        <v>0.45660000000000001</v>
      </c>
      <c r="G21" s="581">
        <v>1.9968999999999999</v>
      </c>
      <c r="H21" s="581">
        <v>2.2282000000000002</v>
      </c>
    </row>
    <row r="22" spans="1:8">
      <c r="A22" s="581">
        <v>16</v>
      </c>
      <c r="B22" s="581" t="s">
        <v>1535</v>
      </c>
      <c r="C22" s="581">
        <v>1.4144000000000001</v>
      </c>
      <c r="D22" s="581">
        <v>8.5000000000000006E-2</v>
      </c>
      <c r="E22" s="581">
        <v>1.6647000000000001</v>
      </c>
      <c r="F22" s="581">
        <v>0.57709999999999995</v>
      </c>
      <c r="G22" s="581">
        <v>2.2265000000000001</v>
      </c>
      <c r="H22" s="581">
        <v>2.2993000000000001</v>
      </c>
    </row>
    <row r="23" spans="1:8">
      <c r="A23" s="581">
        <v>17</v>
      </c>
      <c r="B23" s="581" t="s">
        <v>1536</v>
      </c>
      <c r="C23" s="581">
        <v>1.5733999999999999</v>
      </c>
      <c r="D23" s="581">
        <v>0.17519999999999999</v>
      </c>
      <c r="E23" s="581">
        <v>3.9946000000000002</v>
      </c>
      <c r="F23" s="581">
        <v>0.71479999999999999</v>
      </c>
      <c r="G23" s="581">
        <v>1.6092</v>
      </c>
      <c r="H23" s="581">
        <v>1.6080000000000001</v>
      </c>
    </row>
    <row r="24" spans="1:8">
      <c r="A24" s="581">
        <v>18</v>
      </c>
      <c r="B24" s="581" t="s">
        <v>1537</v>
      </c>
      <c r="C24" s="581">
        <v>1.4138999999999999</v>
      </c>
      <c r="D24" s="581">
        <v>0.1434</v>
      </c>
      <c r="E24" s="581">
        <v>2.5848</v>
      </c>
      <c r="F24" s="581">
        <v>0.75070000000000003</v>
      </c>
      <c r="G24" s="581">
        <v>1.5024999999999999</v>
      </c>
      <c r="H24" s="581">
        <v>1.7116</v>
      </c>
    </row>
    <row r="25" spans="1:8">
      <c r="A25" s="581">
        <v>19</v>
      </c>
      <c r="B25" s="581" t="s">
        <v>1538</v>
      </c>
      <c r="C25" s="581">
        <v>1.4475</v>
      </c>
      <c r="D25" s="581">
        <v>9.6000000000000002E-2</v>
      </c>
      <c r="E25" s="581">
        <v>2.0539000000000001</v>
      </c>
      <c r="F25" s="581">
        <v>0.48559999999999998</v>
      </c>
      <c r="G25" s="581">
        <v>1.9497</v>
      </c>
      <c r="H25" s="581">
        <v>1.9105000000000001</v>
      </c>
    </row>
    <row r="26" spans="1:8">
      <c r="A26" s="581">
        <v>20</v>
      </c>
      <c r="B26" s="581" t="s">
        <v>1539</v>
      </c>
      <c r="C26" s="581">
        <v>1.4544999999999999</v>
      </c>
      <c r="D26" s="581">
        <v>0.1363</v>
      </c>
      <c r="E26" s="581">
        <v>3.1804999999999999</v>
      </c>
      <c r="F26" s="581">
        <v>0.53749999999999998</v>
      </c>
      <c r="G26" s="581">
        <v>1.6082000000000001</v>
      </c>
      <c r="H26" s="581">
        <v>1.5681</v>
      </c>
    </row>
    <row r="27" spans="1:8">
      <c r="A27" s="581">
        <v>21</v>
      </c>
      <c r="B27" s="581" t="s">
        <v>1540</v>
      </c>
      <c r="C27" s="581">
        <v>1.6838</v>
      </c>
      <c r="D27" s="581">
        <v>0.28760000000000002</v>
      </c>
      <c r="E27" s="581">
        <v>7.4861000000000004</v>
      </c>
      <c r="F27" s="581">
        <v>0.80079999999999996</v>
      </c>
      <c r="G27" s="581">
        <v>1.421</v>
      </c>
      <c r="H27" s="581">
        <v>1.3812</v>
      </c>
    </row>
    <row r="28" spans="1:8">
      <c r="A28" s="581">
        <v>22</v>
      </c>
      <c r="B28" s="581" t="s">
        <v>1541</v>
      </c>
      <c r="C28" s="581">
        <v>1.4003000000000001</v>
      </c>
      <c r="D28" s="581">
        <v>0.10680000000000001</v>
      </c>
      <c r="E28" s="581">
        <v>1.9492</v>
      </c>
      <c r="F28" s="581">
        <v>0.58609999999999995</v>
      </c>
      <c r="G28" s="581">
        <v>1.7434000000000001</v>
      </c>
      <c r="H28" s="581">
        <v>2.0206</v>
      </c>
    </row>
    <row r="29" spans="1:8">
      <c r="A29" s="581">
        <v>23</v>
      </c>
      <c r="B29" s="581" t="s">
        <v>1542</v>
      </c>
      <c r="C29" s="581">
        <v>1.5804</v>
      </c>
      <c r="D29" s="581">
        <v>0.1386</v>
      </c>
      <c r="E29" s="581">
        <v>2.9563999999999999</v>
      </c>
      <c r="F29" s="581">
        <v>0.69569999999999999</v>
      </c>
      <c r="G29" s="581">
        <v>1.9564999999999999</v>
      </c>
      <c r="H29" s="581">
        <v>2.1229</v>
      </c>
    </row>
    <row r="30" spans="1:8">
      <c r="A30" s="581">
        <v>24</v>
      </c>
      <c r="B30" s="581" t="s">
        <v>1543</v>
      </c>
      <c r="C30" s="581">
        <v>1.1235999999999999</v>
      </c>
      <c r="D30" s="581">
        <v>6.1100000000000002E-2</v>
      </c>
      <c r="E30" s="581">
        <v>0.82450000000000001</v>
      </c>
      <c r="F30" s="581">
        <v>0.27710000000000001</v>
      </c>
      <c r="G30" s="581">
        <v>1.3192999999999999</v>
      </c>
      <c r="H30" s="581">
        <v>1.6922999999999999</v>
      </c>
    </row>
    <row r="31" spans="1:8">
      <c r="A31" s="581">
        <v>25</v>
      </c>
      <c r="B31" s="581" t="s">
        <v>1544</v>
      </c>
      <c r="C31" s="581">
        <v>1.4019999999999999</v>
      </c>
      <c r="D31" s="581">
        <v>9.8100000000000007E-2</v>
      </c>
      <c r="E31" s="581">
        <v>1.3348</v>
      </c>
      <c r="F31" s="581">
        <v>0.54790000000000005</v>
      </c>
      <c r="G31" s="581">
        <v>1.7829999999999999</v>
      </c>
      <c r="H31" s="581">
        <v>2.5687000000000002</v>
      </c>
    </row>
    <row r="32" spans="1:8">
      <c r="A32" s="581">
        <v>26</v>
      </c>
      <c r="B32" s="581" t="s">
        <v>1545</v>
      </c>
      <c r="C32" s="581">
        <v>1.4568000000000001</v>
      </c>
      <c r="D32" s="581">
        <v>9.6699999999999994E-2</v>
      </c>
      <c r="E32" s="581">
        <v>1.9362999999999999</v>
      </c>
      <c r="F32" s="581">
        <v>0.55759999999999998</v>
      </c>
      <c r="G32" s="581">
        <v>1.8944000000000001</v>
      </c>
      <c r="H32" s="581">
        <v>1.9207000000000001</v>
      </c>
    </row>
    <row r="33" spans="1:8">
      <c r="A33" s="581">
        <v>27</v>
      </c>
      <c r="B33" s="581" t="s">
        <v>1546</v>
      </c>
      <c r="C33" s="581">
        <v>1.4794</v>
      </c>
      <c r="D33" s="581">
        <v>0.1812</v>
      </c>
      <c r="E33" s="581">
        <v>3.0779000000000001</v>
      </c>
      <c r="F33" s="581">
        <v>0.93910000000000005</v>
      </c>
      <c r="G33" s="581">
        <v>1.5093000000000001</v>
      </c>
      <c r="H33" s="581">
        <v>1.9242999999999999</v>
      </c>
    </row>
    <row r="34" spans="1:8">
      <c r="A34" s="581">
        <v>28</v>
      </c>
      <c r="B34" s="581" t="s">
        <v>1547</v>
      </c>
      <c r="C34" s="581">
        <v>1.5025999999999999</v>
      </c>
      <c r="D34" s="581">
        <v>0.24740000000000001</v>
      </c>
      <c r="E34" s="581">
        <v>8.2003000000000004</v>
      </c>
      <c r="F34" s="581">
        <v>0.97689999999999999</v>
      </c>
      <c r="G34" s="581">
        <v>1.3217000000000001</v>
      </c>
      <c r="H34" s="581">
        <v>1.2452000000000001</v>
      </c>
    </row>
    <row r="35" spans="1:8">
      <c r="A35" s="581">
        <v>29</v>
      </c>
      <c r="B35" s="581" t="s">
        <v>1548</v>
      </c>
      <c r="C35" s="581">
        <v>1.3289</v>
      </c>
      <c r="D35" s="581">
        <v>0.1124</v>
      </c>
      <c r="E35" s="581">
        <v>2.2488000000000001</v>
      </c>
      <c r="F35" s="581">
        <v>0.56020000000000003</v>
      </c>
      <c r="G35" s="581">
        <v>1.6655</v>
      </c>
      <c r="H35" s="581">
        <v>1.974</v>
      </c>
    </row>
    <row r="36" spans="1:8">
      <c r="A36" s="581">
        <v>30</v>
      </c>
      <c r="B36" s="581" t="s">
        <v>1549</v>
      </c>
      <c r="C36" s="581">
        <v>1.5026999999999999</v>
      </c>
      <c r="D36" s="581">
        <v>0.1331</v>
      </c>
      <c r="E36" s="581">
        <v>2.3871000000000002</v>
      </c>
      <c r="F36" s="581">
        <v>0.70069999999999999</v>
      </c>
      <c r="G36" s="581">
        <v>1.9754</v>
      </c>
      <c r="H36" s="581">
        <v>2.6097999999999999</v>
      </c>
    </row>
    <row r="37" spans="1:8">
      <c r="A37" s="581">
        <v>31</v>
      </c>
      <c r="B37" s="581" t="s">
        <v>1550</v>
      </c>
      <c r="C37" s="581">
        <v>1.3744000000000001</v>
      </c>
      <c r="D37" s="581">
        <v>0.1089</v>
      </c>
      <c r="E37" s="581">
        <v>1.8190999999999999</v>
      </c>
      <c r="F37" s="581">
        <v>0.5998</v>
      </c>
      <c r="G37" s="581">
        <v>1.9028</v>
      </c>
      <c r="H37" s="581">
        <v>3.0341999999999998</v>
      </c>
    </row>
    <row r="38" spans="1:8">
      <c r="A38" s="581">
        <v>32</v>
      </c>
      <c r="B38" s="581" t="s">
        <v>1551</v>
      </c>
      <c r="C38" s="581">
        <v>1.5022</v>
      </c>
      <c r="D38" s="581">
        <v>0.15690000000000001</v>
      </c>
      <c r="E38" s="581">
        <v>3.5049999999999999</v>
      </c>
      <c r="F38" s="581">
        <v>0.73780000000000001</v>
      </c>
      <c r="G38" s="581">
        <v>1.7352000000000001</v>
      </c>
      <c r="H38" s="581">
        <v>1.8842000000000001</v>
      </c>
    </row>
    <row r="39" spans="1:8">
      <c r="A39" s="581">
        <v>33</v>
      </c>
      <c r="B39" s="581" t="s">
        <v>1552</v>
      </c>
      <c r="C39" s="581">
        <v>1.4492</v>
      </c>
      <c r="D39" s="581">
        <v>0.318</v>
      </c>
      <c r="E39" s="581">
        <v>12.2271</v>
      </c>
      <c r="F39" s="581">
        <v>0.8125</v>
      </c>
      <c r="G39" s="581">
        <v>1.2259</v>
      </c>
      <c r="H39" s="581">
        <v>1.1382000000000001</v>
      </c>
    </row>
    <row r="40" spans="1:8">
      <c r="A40" s="581">
        <v>34</v>
      </c>
      <c r="B40" s="581" t="s">
        <v>1553</v>
      </c>
      <c r="C40" s="581">
        <v>1.6160000000000001</v>
      </c>
      <c r="D40" s="581">
        <v>0.43090000000000001</v>
      </c>
      <c r="E40" s="581">
        <v>5.9451999999999998</v>
      </c>
      <c r="F40" s="581">
        <v>0.86050000000000004</v>
      </c>
      <c r="G40" s="581">
        <v>1.2339</v>
      </c>
      <c r="H40" s="581">
        <v>1.5611999999999999</v>
      </c>
    </row>
    <row r="41" spans="1:8">
      <c r="A41" s="581">
        <v>35</v>
      </c>
      <c r="B41" s="581" t="s">
        <v>1554</v>
      </c>
      <c r="C41" s="581">
        <v>1.4288000000000001</v>
      </c>
      <c r="D41" s="581">
        <v>0.24940000000000001</v>
      </c>
      <c r="E41" s="581">
        <v>5.4043000000000001</v>
      </c>
      <c r="F41" s="581">
        <v>0.94240000000000002</v>
      </c>
      <c r="G41" s="581">
        <v>1.3121</v>
      </c>
      <c r="H41" s="581">
        <v>1.4012</v>
      </c>
    </row>
    <row r="42" spans="1:8">
      <c r="A42" s="581">
        <v>36</v>
      </c>
      <c r="B42" s="581" t="s">
        <v>1555</v>
      </c>
      <c r="C42" s="581">
        <v>1.4585999999999999</v>
      </c>
      <c r="D42" s="581">
        <v>0.19969999999999999</v>
      </c>
      <c r="E42" s="581">
        <v>4.8228</v>
      </c>
      <c r="F42" s="581">
        <v>0.97889999999999999</v>
      </c>
      <c r="G42" s="581">
        <v>1.3912</v>
      </c>
      <c r="H42" s="581">
        <v>1.4664999999999999</v>
      </c>
    </row>
    <row r="43" spans="1:8">
      <c r="A43" s="581">
        <v>37</v>
      </c>
      <c r="B43" s="581" t="s">
        <v>1556</v>
      </c>
      <c r="C43" s="581">
        <v>1.6303000000000001</v>
      </c>
      <c r="D43" s="581">
        <v>0.16830000000000001</v>
      </c>
      <c r="E43" s="581">
        <v>3.1583999999999999</v>
      </c>
      <c r="F43" s="581">
        <v>0.80549999999999999</v>
      </c>
      <c r="G43" s="581">
        <v>1.8431</v>
      </c>
      <c r="H43" s="581">
        <v>2.3559999999999999</v>
      </c>
    </row>
    <row r="44" spans="1:8">
      <c r="A44" s="581">
        <v>38</v>
      </c>
      <c r="B44" s="581" t="s">
        <v>1557</v>
      </c>
      <c r="C44" s="581">
        <v>1.4551000000000001</v>
      </c>
      <c r="D44" s="581">
        <v>0.17080000000000001</v>
      </c>
      <c r="E44" s="581">
        <v>4.7701000000000002</v>
      </c>
      <c r="F44" s="581">
        <v>0.87170000000000003</v>
      </c>
      <c r="G44" s="581">
        <v>1.5314000000000001</v>
      </c>
      <c r="H44" s="581">
        <v>1.4758</v>
      </c>
    </row>
    <row r="45" spans="1:8">
      <c r="A45" s="581">
        <v>39</v>
      </c>
      <c r="B45" s="581" t="s">
        <v>1558</v>
      </c>
      <c r="C45" s="581">
        <v>1.4422999999999999</v>
      </c>
      <c r="D45" s="581">
        <v>0.2286</v>
      </c>
      <c r="E45" s="581">
        <v>3.3677999999999999</v>
      </c>
      <c r="F45" s="581">
        <v>0.7036</v>
      </c>
      <c r="G45" s="581">
        <v>1.4328000000000001</v>
      </c>
      <c r="H45" s="581">
        <v>2.367</v>
      </c>
    </row>
    <row r="46" spans="1:8">
      <c r="A46" s="581">
        <v>40</v>
      </c>
      <c r="B46" s="581" t="s">
        <v>1559</v>
      </c>
      <c r="C46" s="581">
        <v>1.4509000000000001</v>
      </c>
      <c r="D46" s="581">
        <v>0.1003</v>
      </c>
      <c r="E46" s="581">
        <v>1.7758</v>
      </c>
      <c r="F46" s="581">
        <v>0.81610000000000005</v>
      </c>
      <c r="G46" s="581">
        <v>2.0087000000000002</v>
      </c>
      <c r="H46" s="581">
        <v>2.8151000000000002</v>
      </c>
    </row>
    <row r="47" spans="1:8">
      <c r="A47" s="581">
        <v>41</v>
      </c>
      <c r="B47" s="581" t="s">
        <v>1560</v>
      </c>
      <c r="C47" s="581">
        <v>1.5723</v>
      </c>
      <c r="D47" s="581">
        <v>0.1419</v>
      </c>
      <c r="E47" s="581">
        <v>2.6049000000000002</v>
      </c>
      <c r="F47" s="581">
        <v>0.81499999999999995</v>
      </c>
      <c r="G47" s="581">
        <v>1.9688000000000001</v>
      </c>
      <c r="H47" s="581">
        <v>3.0125000000000002</v>
      </c>
    </row>
    <row r="48" spans="1:8">
      <c r="A48" s="581">
        <v>42</v>
      </c>
      <c r="B48" s="581" t="s">
        <v>1561</v>
      </c>
      <c r="C48" s="581">
        <v>1.7030000000000001</v>
      </c>
      <c r="D48" s="581">
        <v>0.15570000000000001</v>
      </c>
      <c r="E48" s="581">
        <v>3.0476999999999999</v>
      </c>
      <c r="F48" s="581">
        <v>0.90990000000000004</v>
      </c>
      <c r="G48" s="581">
        <v>2.1347999999999998</v>
      </c>
      <c r="H48" s="581">
        <v>2.7425000000000002</v>
      </c>
    </row>
    <row r="49" spans="1:8">
      <c r="A49" s="581">
        <v>43</v>
      </c>
      <c r="B49" s="581" t="s">
        <v>1562</v>
      </c>
      <c r="C49" s="581">
        <v>1.6584000000000001</v>
      </c>
      <c r="D49" s="581">
        <v>0.25779999999999997</v>
      </c>
      <c r="E49" s="581">
        <v>4.3388999999999998</v>
      </c>
      <c r="F49" s="581">
        <v>0.92190000000000005</v>
      </c>
      <c r="G49" s="581">
        <v>1.4378</v>
      </c>
      <c r="H49" s="581">
        <v>1.7684</v>
      </c>
    </row>
    <row r="50" spans="1:8">
      <c r="A50" s="581">
        <v>44</v>
      </c>
      <c r="B50" s="581" t="s">
        <v>1563</v>
      </c>
      <c r="C50" s="581">
        <v>1.5001</v>
      </c>
      <c r="D50" s="581">
        <v>0.1008</v>
      </c>
      <c r="E50" s="581">
        <v>1.6508</v>
      </c>
      <c r="F50" s="581">
        <v>0.98089999999999999</v>
      </c>
      <c r="G50" s="581">
        <v>1.8044</v>
      </c>
      <c r="H50" s="581">
        <v>2.2332000000000001</v>
      </c>
    </row>
    <row r="51" spans="1:8">
      <c r="A51" s="581">
        <v>45</v>
      </c>
      <c r="B51" s="581" t="s">
        <v>1564</v>
      </c>
      <c r="C51" s="581">
        <v>1.7333000000000001</v>
      </c>
      <c r="D51" s="581">
        <v>0.17180000000000001</v>
      </c>
      <c r="E51" s="581">
        <v>2.6307999999999998</v>
      </c>
      <c r="F51" s="581">
        <v>0.85960000000000003</v>
      </c>
      <c r="G51" s="581">
        <v>2.4333999999999998</v>
      </c>
      <c r="H51" s="581">
        <v>3.6873</v>
      </c>
    </row>
    <row r="52" spans="1:8">
      <c r="A52" s="581">
        <v>46</v>
      </c>
      <c r="B52" s="581" t="s">
        <v>1565</v>
      </c>
      <c r="C52" s="581">
        <v>1.4396</v>
      </c>
      <c r="D52" s="581">
        <v>7.4899999999999994E-2</v>
      </c>
      <c r="E52" s="581">
        <v>3.8650000000000002</v>
      </c>
      <c r="F52" s="581">
        <v>0.95089999999999997</v>
      </c>
      <c r="G52" s="581">
        <v>2.4173</v>
      </c>
      <c r="H52" s="581">
        <v>1.4061999999999999</v>
      </c>
    </row>
    <row r="53" spans="1:8">
      <c r="A53" s="581">
        <v>47</v>
      </c>
      <c r="B53" s="581" t="s">
        <v>1566</v>
      </c>
      <c r="C53" s="581">
        <v>1.5714999999999999</v>
      </c>
      <c r="D53" s="581">
        <v>0.1295</v>
      </c>
      <c r="E53" s="581">
        <v>2.5131000000000001</v>
      </c>
      <c r="F53" s="581">
        <v>0.98939999999999995</v>
      </c>
      <c r="G53" s="581">
        <v>2.0613999999999999</v>
      </c>
      <c r="H53" s="581">
        <v>2.6440999999999999</v>
      </c>
    </row>
    <row r="54" spans="1:8">
      <c r="A54" s="581">
        <v>48</v>
      </c>
      <c r="B54" s="581" t="s">
        <v>1567</v>
      </c>
      <c r="C54" s="581">
        <v>1.5021</v>
      </c>
      <c r="D54" s="581">
        <v>0.25080000000000002</v>
      </c>
      <c r="E54" s="581">
        <v>4.3742000000000001</v>
      </c>
      <c r="F54" s="581">
        <v>0.97889999999999999</v>
      </c>
      <c r="G54" s="581">
        <v>1.3331</v>
      </c>
      <c r="H54" s="581">
        <v>1.6276999999999999</v>
      </c>
    </row>
    <row r="55" spans="1:8">
      <c r="A55" s="581">
        <v>49</v>
      </c>
      <c r="B55" s="581" t="s">
        <v>1568</v>
      </c>
      <c r="C55" s="581">
        <v>1.4571000000000001</v>
      </c>
      <c r="D55" s="581">
        <v>0.16739999999999999</v>
      </c>
      <c r="E55" s="581">
        <v>2.2867000000000002</v>
      </c>
      <c r="F55" s="581">
        <v>0.92079999999999995</v>
      </c>
      <c r="G55" s="581">
        <v>1.5379</v>
      </c>
      <c r="H55" s="581">
        <v>2.5377999999999998</v>
      </c>
    </row>
    <row r="56" spans="1:8">
      <c r="A56" s="581">
        <v>50</v>
      </c>
      <c r="B56" s="581" t="s">
        <v>1569</v>
      </c>
      <c r="C56" s="581">
        <v>1.5147999999999999</v>
      </c>
      <c r="D56" s="581">
        <v>0.27110000000000001</v>
      </c>
      <c r="E56" s="581">
        <v>9.4883000000000006</v>
      </c>
      <c r="F56" s="581">
        <v>0.94940000000000002</v>
      </c>
      <c r="G56" s="581">
        <v>1.3247</v>
      </c>
      <c r="H56" s="581">
        <v>1.23</v>
      </c>
    </row>
    <row r="57" spans="1:8">
      <c r="A57" s="581">
        <v>51</v>
      </c>
      <c r="B57" s="581" t="s">
        <v>1570</v>
      </c>
      <c r="C57" s="581">
        <v>1.728</v>
      </c>
      <c r="D57" s="581">
        <v>0.34449999999999997</v>
      </c>
      <c r="E57" s="581">
        <v>6.5818000000000003</v>
      </c>
      <c r="F57" s="581">
        <v>0.9456</v>
      </c>
      <c r="G57" s="581">
        <v>1.4383999999999999</v>
      </c>
      <c r="H57" s="581">
        <v>1.6041000000000001</v>
      </c>
    </row>
    <row r="58" spans="1:8">
      <c r="A58" s="581">
        <v>52</v>
      </c>
      <c r="B58" s="581" t="s">
        <v>1571</v>
      </c>
      <c r="C58" s="581">
        <v>1.5748</v>
      </c>
      <c r="D58" s="581">
        <v>0.32400000000000001</v>
      </c>
      <c r="E58" s="581">
        <v>10.811400000000001</v>
      </c>
      <c r="F58" s="581">
        <v>0.99319999999999997</v>
      </c>
      <c r="G58" s="581">
        <v>1.2616000000000001</v>
      </c>
      <c r="H58" s="581">
        <v>1.2109000000000001</v>
      </c>
    </row>
    <row r="59" spans="1:8">
      <c r="A59" s="581">
        <v>53</v>
      </c>
      <c r="B59" s="581" t="s">
        <v>1572</v>
      </c>
      <c r="C59" s="581">
        <v>1.6424000000000001</v>
      </c>
      <c r="D59" s="581">
        <v>0.34989999999999999</v>
      </c>
      <c r="E59" s="581">
        <v>6.6913</v>
      </c>
      <c r="F59" s="581">
        <v>1.0199</v>
      </c>
      <c r="G59" s="581">
        <v>1.306</v>
      </c>
      <c r="H59" s="581">
        <v>1.4673</v>
      </c>
    </row>
    <row r="60" spans="1:8">
      <c r="A60" s="581">
        <v>54</v>
      </c>
      <c r="B60" s="581" t="s">
        <v>1573</v>
      </c>
      <c r="C60" s="581">
        <v>1.6904999999999999</v>
      </c>
      <c r="D60" s="581">
        <v>0.2797</v>
      </c>
      <c r="E60" s="581">
        <v>5.7869999999999999</v>
      </c>
      <c r="F60" s="581">
        <v>0.95350000000000001</v>
      </c>
      <c r="G60" s="581">
        <v>1.3837999999999999</v>
      </c>
      <c r="H60" s="581">
        <v>1.5769</v>
      </c>
    </row>
    <row r="61" spans="1:8">
      <c r="A61" s="581">
        <v>55</v>
      </c>
      <c r="B61" s="581" t="s">
        <v>1574</v>
      </c>
      <c r="C61" s="581">
        <v>1.6592</v>
      </c>
      <c r="D61" s="581">
        <v>0.45540000000000003</v>
      </c>
      <c r="E61" s="581">
        <v>13.805400000000001</v>
      </c>
      <c r="F61" s="581">
        <v>1.0698000000000001</v>
      </c>
      <c r="G61" s="581">
        <v>1.2135</v>
      </c>
      <c r="H61" s="581">
        <v>1.1935</v>
      </c>
    </row>
    <row r="62" spans="1:8">
      <c r="A62" s="581">
        <v>56</v>
      </c>
      <c r="B62" s="581" t="s">
        <v>1575</v>
      </c>
      <c r="C62" s="581">
        <v>1.6649</v>
      </c>
      <c r="D62" s="581">
        <v>0.41649999999999998</v>
      </c>
      <c r="E62" s="581">
        <v>17.524799999999999</v>
      </c>
      <c r="F62" s="581">
        <v>1.0375000000000001</v>
      </c>
      <c r="G62" s="581">
        <v>1.2441</v>
      </c>
      <c r="H62" s="581">
        <v>1.1474</v>
      </c>
    </row>
    <row r="63" spans="1:8">
      <c r="A63" s="581">
        <v>57</v>
      </c>
      <c r="B63" s="581" t="s">
        <v>1576</v>
      </c>
      <c r="C63" s="581">
        <v>1.7164999999999999</v>
      </c>
      <c r="D63" s="581">
        <v>0.35539999999999999</v>
      </c>
      <c r="E63" s="581">
        <v>12.081200000000001</v>
      </c>
      <c r="F63" s="581">
        <v>1.0359</v>
      </c>
      <c r="G63" s="581">
        <v>1.4137</v>
      </c>
      <c r="H63" s="581">
        <v>1.3329</v>
      </c>
    </row>
    <row r="64" spans="1:8">
      <c r="A64" s="581">
        <v>58</v>
      </c>
      <c r="B64" s="581" t="s">
        <v>1577</v>
      </c>
      <c r="C64" s="581">
        <v>1.5399</v>
      </c>
      <c r="D64" s="581">
        <v>0.24879999999999999</v>
      </c>
      <c r="E64" s="581">
        <v>11.4518</v>
      </c>
      <c r="F64" s="581">
        <v>0.97450000000000003</v>
      </c>
      <c r="G64" s="581">
        <v>1.3302</v>
      </c>
      <c r="H64" s="581">
        <v>1.1657999999999999</v>
      </c>
    </row>
    <row r="65" spans="1:8">
      <c r="A65" s="581">
        <v>59</v>
      </c>
      <c r="B65" s="581" t="s">
        <v>1578</v>
      </c>
      <c r="C65" s="581">
        <v>1.577</v>
      </c>
      <c r="D65" s="581">
        <v>0.1885</v>
      </c>
      <c r="E65" s="581">
        <v>4.9396000000000004</v>
      </c>
      <c r="F65" s="581">
        <v>0.89339999999999997</v>
      </c>
      <c r="G65" s="581">
        <v>1.6222000000000001</v>
      </c>
      <c r="H65" s="581">
        <v>1.5698000000000001</v>
      </c>
    </row>
    <row r="66" spans="1:8">
      <c r="A66" s="581">
        <v>60</v>
      </c>
      <c r="B66" s="581" t="s">
        <v>1579</v>
      </c>
      <c r="C66" s="581">
        <v>1.5573999999999999</v>
      </c>
      <c r="D66" s="581">
        <v>0.25130000000000002</v>
      </c>
      <c r="E66" s="581">
        <v>11.741300000000001</v>
      </c>
      <c r="F66" s="581">
        <v>0.86650000000000005</v>
      </c>
      <c r="G66" s="581">
        <v>1.3439000000000001</v>
      </c>
      <c r="H66" s="581">
        <v>1.1629</v>
      </c>
    </row>
    <row r="67" spans="1:8">
      <c r="A67" s="581">
        <v>61</v>
      </c>
      <c r="B67" s="581" t="s">
        <v>1580</v>
      </c>
      <c r="C67" s="581">
        <v>1.6125</v>
      </c>
      <c r="D67" s="581">
        <v>0.25690000000000002</v>
      </c>
      <c r="E67" s="581">
        <v>6.5259999999999998</v>
      </c>
      <c r="F67" s="581">
        <v>0.92179999999999995</v>
      </c>
      <c r="G67" s="581">
        <v>1.4326000000000001</v>
      </c>
      <c r="H67" s="581">
        <v>1.4352</v>
      </c>
    </row>
    <row r="68" spans="1:8">
      <c r="A68" s="581">
        <v>62</v>
      </c>
      <c r="B68" s="581" t="s">
        <v>1581</v>
      </c>
      <c r="C68" s="581">
        <v>0.90280000000000005</v>
      </c>
      <c r="D68" s="581">
        <v>0.121</v>
      </c>
      <c r="E68" s="581">
        <v>3.4790000000000001</v>
      </c>
      <c r="F68" s="581">
        <v>0.54459999999999997</v>
      </c>
      <c r="G68" s="581">
        <v>0</v>
      </c>
      <c r="H68" s="581">
        <v>0</v>
      </c>
    </row>
    <row r="70" spans="1:8">
      <c r="C70" s="581">
        <f>SUM(C6:C68)</f>
        <v>91.466099999999983</v>
      </c>
      <c r="D70" s="581">
        <f t="shared" ref="D70:H70" si="0">SUM(D6:D68)</f>
        <v>11.383299999999997</v>
      </c>
      <c r="E70" s="581">
        <f t="shared" si="0"/>
        <v>284.8974</v>
      </c>
      <c r="F70" s="581">
        <f t="shared" si="0"/>
        <v>46.777000000000001</v>
      </c>
      <c r="G70" s="581">
        <f t="shared" si="0"/>
        <v>95.633800000000008</v>
      </c>
      <c r="H70" s="581">
        <f t="shared" si="0"/>
        <v>109.30279999999999</v>
      </c>
    </row>
    <row r="71" spans="1:8">
      <c r="C71" s="581">
        <f>C70-SUM(essex!B2:B63)</f>
        <v>-0.86100000000001842</v>
      </c>
      <c r="D71" s="581">
        <f>D70-SUM(essex!C2:C63)</f>
        <v>-0.87360000000000326</v>
      </c>
      <c r="E71" s="581">
        <f>E70-SUM(essex!D2:D63)</f>
        <v>-39.862400000000036</v>
      </c>
      <c r="F71" s="581">
        <f>F70-SUM(essex!E2:E63)</f>
        <v>-2.4409000000000063</v>
      </c>
      <c r="G71" s="581">
        <f>G70-SUM(essex!F2:F63)</f>
        <v>-1.0294000000000239</v>
      </c>
      <c r="H71" s="581">
        <f>H70-SUM(essex!G2:G63)</f>
        <v>3.8375000000000057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H71"/>
  <sheetViews>
    <sheetView topLeftCell="A69" workbookViewId="0">
      <selection activeCell="C72" sqref="C72"/>
    </sheetView>
  </sheetViews>
  <sheetFormatPr defaultColWidth="9.109375" defaultRowHeight="14.4"/>
  <cols>
    <col min="1" max="16384" width="9.109375" style="581"/>
  </cols>
  <sheetData>
    <row r="1" spans="1:8">
      <c r="A1" s="581" t="s">
        <v>1513</v>
      </c>
    </row>
    <row r="2" spans="1:8">
      <c r="A2" s="581" t="s">
        <v>1584</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1.4066000000000001</v>
      </c>
      <c r="D7" s="581">
        <v>0.43130000000000002</v>
      </c>
      <c r="E7" s="581">
        <v>19.0322</v>
      </c>
      <c r="F7" s="581">
        <v>0.64190000000000003</v>
      </c>
      <c r="G7" s="581">
        <v>1.3115000000000001</v>
      </c>
      <c r="H7" s="581">
        <v>1.2142999999999999</v>
      </c>
    </row>
    <row r="8" spans="1:8">
      <c r="A8" s="581">
        <v>2</v>
      </c>
      <c r="B8" s="581" t="s">
        <v>1521</v>
      </c>
      <c r="C8" s="581">
        <v>1.2518</v>
      </c>
      <c r="D8" s="581">
        <v>0.3342</v>
      </c>
      <c r="E8" s="581">
        <v>14.704499999999999</v>
      </c>
      <c r="F8" s="581">
        <v>0.81499999999999995</v>
      </c>
      <c r="G8" s="581">
        <v>1.2346999999999999</v>
      </c>
      <c r="H8" s="581">
        <v>1.1493</v>
      </c>
    </row>
    <row r="9" spans="1:8">
      <c r="A9" s="581">
        <v>3</v>
      </c>
      <c r="B9" s="581" t="s">
        <v>1522</v>
      </c>
      <c r="C9" s="581">
        <v>1</v>
      </c>
      <c r="D9" s="581">
        <v>0</v>
      </c>
      <c r="E9" s="581">
        <v>0</v>
      </c>
      <c r="F9" s="581">
        <v>0</v>
      </c>
      <c r="G9" s="581">
        <v>0</v>
      </c>
      <c r="H9" s="581">
        <v>0</v>
      </c>
    </row>
    <row r="10" spans="1:8">
      <c r="A10" s="581">
        <v>4</v>
      </c>
      <c r="B10" s="581" t="s">
        <v>1523</v>
      </c>
      <c r="C10" s="581">
        <v>1.4504999999999999</v>
      </c>
      <c r="D10" s="581">
        <v>0.38479999999999998</v>
      </c>
      <c r="E10" s="581">
        <v>6.9587000000000003</v>
      </c>
      <c r="F10" s="581">
        <v>0.78159999999999996</v>
      </c>
      <c r="G10" s="581">
        <v>1.391</v>
      </c>
      <c r="H10" s="581">
        <v>1.6566000000000001</v>
      </c>
    </row>
    <row r="11" spans="1:8">
      <c r="A11" s="581">
        <v>5</v>
      </c>
      <c r="B11" s="581" t="s">
        <v>1524</v>
      </c>
      <c r="C11" s="581">
        <v>1.3384</v>
      </c>
      <c r="D11" s="581">
        <v>0.2014</v>
      </c>
      <c r="E11" s="581">
        <v>4.4149000000000003</v>
      </c>
      <c r="F11" s="581">
        <v>0.52639999999999998</v>
      </c>
      <c r="G11" s="581">
        <v>1.8162</v>
      </c>
      <c r="H11" s="581">
        <v>1.8997999999999999</v>
      </c>
    </row>
    <row r="12" spans="1:8">
      <c r="A12" s="581">
        <v>6</v>
      </c>
      <c r="B12" s="581" t="s">
        <v>1525</v>
      </c>
      <c r="C12" s="581">
        <v>1.1189</v>
      </c>
      <c r="D12" s="581">
        <v>9.8900000000000002E-2</v>
      </c>
      <c r="E12" s="581">
        <v>1.5001</v>
      </c>
      <c r="F12" s="581">
        <v>0.64649999999999996</v>
      </c>
      <c r="G12" s="581">
        <v>1.4675</v>
      </c>
      <c r="H12" s="581">
        <v>2.3856999999999999</v>
      </c>
    </row>
    <row r="13" spans="1:8">
      <c r="A13" s="581">
        <v>7</v>
      </c>
      <c r="B13" s="581" t="s">
        <v>1526</v>
      </c>
      <c r="C13" s="581">
        <v>1.4393</v>
      </c>
      <c r="D13" s="581">
        <v>0.40810000000000002</v>
      </c>
      <c r="E13" s="581">
        <v>8.8844999999999992</v>
      </c>
      <c r="F13" s="581">
        <v>0.76539999999999997</v>
      </c>
      <c r="G13" s="581">
        <v>1.4</v>
      </c>
      <c r="H13" s="581">
        <v>1.5965</v>
      </c>
    </row>
    <row r="14" spans="1:8">
      <c r="A14" s="581">
        <v>8</v>
      </c>
      <c r="B14" s="581" t="s">
        <v>1527</v>
      </c>
      <c r="C14" s="581">
        <v>1.3597999999999999</v>
      </c>
      <c r="D14" s="581">
        <v>0.40260000000000001</v>
      </c>
      <c r="E14" s="581">
        <v>10.5672</v>
      </c>
      <c r="F14" s="581">
        <v>0.49809999999999999</v>
      </c>
      <c r="G14" s="581">
        <v>1.2934000000000001</v>
      </c>
      <c r="H14" s="581">
        <v>1.3311999999999999</v>
      </c>
    </row>
    <row r="15" spans="1:8">
      <c r="A15" s="581">
        <v>9</v>
      </c>
      <c r="B15" s="581" t="s">
        <v>1528</v>
      </c>
      <c r="C15" s="581">
        <v>1.4708000000000001</v>
      </c>
      <c r="D15" s="581">
        <v>0.29299999999999998</v>
      </c>
      <c r="E15" s="581">
        <v>6.1041999999999996</v>
      </c>
      <c r="F15" s="581">
        <v>0.64670000000000005</v>
      </c>
      <c r="G15" s="581">
        <v>1.7128000000000001</v>
      </c>
      <c r="H15" s="581">
        <v>1.9107000000000001</v>
      </c>
    </row>
    <row r="16" spans="1:8">
      <c r="A16" s="581">
        <v>10</v>
      </c>
      <c r="B16" s="581" t="s">
        <v>1529</v>
      </c>
      <c r="C16" s="581">
        <v>1</v>
      </c>
      <c r="D16" s="581">
        <v>0</v>
      </c>
      <c r="E16" s="581">
        <v>0</v>
      </c>
      <c r="F16" s="581">
        <v>0</v>
      </c>
      <c r="G16" s="581">
        <v>0</v>
      </c>
      <c r="H16" s="581">
        <v>0</v>
      </c>
    </row>
    <row r="17" spans="1:8">
      <c r="A17" s="581">
        <v>11</v>
      </c>
      <c r="B17" s="581" t="s">
        <v>1530</v>
      </c>
      <c r="C17" s="581">
        <v>1.3325</v>
      </c>
      <c r="D17" s="581">
        <v>0.32369999999999999</v>
      </c>
      <c r="E17" s="581">
        <v>6.9414999999999996</v>
      </c>
      <c r="F17" s="581">
        <v>0.60089999999999999</v>
      </c>
      <c r="G17" s="581">
        <v>1.3542000000000001</v>
      </c>
      <c r="H17" s="581">
        <v>1.5194000000000001</v>
      </c>
    </row>
    <row r="18" spans="1:8">
      <c r="A18" s="581">
        <v>12</v>
      </c>
      <c r="B18" s="581" t="s">
        <v>1531</v>
      </c>
      <c r="C18" s="581">
        <v>1.3612</v>
      </c>
      <c r="D18" s="581">
        <v>0.38269999999999998</v>
      </c>
      <c r="E18" s="581">
        <v>7.1432000000000002</v>
      </c>
      <c r="F18" s="581">
        <v>0.57350000000000001</v>
      </c>
      <c r="G18" s="581">
        <v>1.3188</v>
      </c>
      <c r="H18" s="581">
        <v>1.5617000000000001</v>
      </c>
    </row>
    <row r="19" spans="1:8">
      <c r="A19" s="581">
        <v>13</v>
      </c>
      <c r="B19" s="581" t="s">
        <v>1532</v>
      </c>
      <c r="C19" s="581">
        <v>1.2835000000000001</v>
      </c>
      <c r="D19" s="581">
        <v>0.1338</v>
      </c>
      <c r="E19" s="581">
        <v>2.1926999999999999</v>
      </c>
      <c r="F19" s="581">
        <v>0.6613</v>
      </c>
      <c r="G19" s="581">
        <v>1.7518</v>
      </c>
      <c r="H19" s="581">
        <v>2.3086000000000002</v>
      </c>
    </row>
    <row r="20" spans="1:8">
      <c r="A20" s="581">
        <v>14</v>
      </c>
      <c r="B20" s="581" t="s">
        <v>1533</v>
      </c>
      <c r="C20" s="581">
        <v>1</v>
      </c>
      <c r="D20" s="581">
        <v>0</v>
      </c>
      <c r="E20" s="581">
        <v>0</v>
      </c>
      <c r="F20" s="581">
        <v>0</v>
      </c>
      <c r="G20" s="581">
        <v>0</v>
      </c>
      <c r="H20" s="581">
        <v>0</v>
      </c>
    </row>
    <row r="21" spans="1:8">
      <c r="A21" s="581">
        <v>15</v>
      </c>
      <c r="B21" s="581" t="s">
        <v>1534</v>
      </c>
      <c r="C21" s="581">
        <v>1</v>
      </c>
      <c r="D21" s="581">
        <v>0</v>
      </c>
      <c r="E21" s="581">
        <v>0</v>
      </c>
      <c r="F21" s="581">
        <v>0</v>
      </c>
      <c r="G21" s="581">
        <v>0</v>
      </c>
      <c r="H21" s="581">
        <v>0</v>
      </c>
    </row>
    <row r="22" spans="1:8">
      <c r="A22" s="581">
        <v>16</v>
      </c>
      <c r="B22" s="581" t="s">
        <v>1535</v>
      </c>
      <c r="C22" s="581">
        <v>1.27</v>
      </c>
      <c r="D22" s="581">
        <v>0.21310000000000001</v>
      </c>
      <c r="E22" s="581">
        <v>4.5759999999999996</v>
      </c>
      <c r="F22" s="581">
        <v>0.50549999999999995</v>
      </c>
      <c r="G22" s="581">
        <v>1.4941</v>
      </c>
      <c r="H22" s="581">
        <v>1.6919999999999999</v>
      </c>
    </row>
    <row r="23" spans="1:8">
      <c r="A23" s="581">
        <v>17</v>
      </c>
      <c r="B23" s="581" t="s">
        <v>1536</v>
      </c>
      <c r="C23" s="581">
        <v>1.351</v>
      </c>
      <c r="D23" s="581">
        <v>0.26729999999999998</v>
      </c>
      <c r="E23" s="581">
        <v>6.6208999999999998</v>
      </c>
      <c r="F23" s="581">
        <v>0.6149</v>
      </c>
      <c r="G23" s="581">
        <v>1.4831000000000001</v>
      </c>
      <c r="H23" s="581">
        <v>1.6094999999999999</v>
      </c>
    </row>
    <row r="24" spans="1:8">
      <c r="A24" s="581">
        <v>18</v>
      </c>
      <c r="B24" s="581" t="s">
        <v>1537</v>
      </c>
      <c r="C24" s="581">
        <v>1.4054</v>
      </c>
      <c r="D24" s="581">
        <v>0.42899999999999999</v>
      </c>
      <c r="E24" s="581">
        <v>8.0998999999999999</v>
      </c>
      <c r="F24" s="581">
        <v>0.76600000000000001</v>
      </c>
      <c r="G24" s="581">
        <v>1.3169999999999999</v>
      </c>
      <c r="H24" s="581">
        <v>1.5721000000000001</v>
      </c>
    </row>
    <row r="25" spans="1:8">
      <c r="A25" s="581">
        <v>19</v>
      </c>
      <c r="B25" s="581" t="s">
        <v>1538</v>
      </c>
      <c r="C25" s="581">
        <v>1.3302</v>
      </c>
      <c r="D25" s="581">
        <v>0.189</v>
      </c>
      <c r="E25" s="581">
        <v>4.6908000000000003</v>
      </c>
      <c r="F25" s="581">
        <v>0.4456</v>
      </c>
      <c r="G25" s="581">
        <v>1.7587999999999999</v>
      </c>
      <c r="H25" s="581">
        <v>1.9981</v>
      </c>
    </row>
    <row r="26" spans="1:8">
      <c r="A26" s="581">
        <v>20</v>
      </c>
      <c r="B26" s="581" t="s">
        <v>1539</v>
      </c>
      <c r="C26" s="581">
        <v>1.3026</v>
      </c>
      <c r="D26" s="581">
        <v>0.29139999999999999</v>
      </c>
      <c r="E26" s="581">
        <v>7.3159999999999998</v>
      </c>
      <c r="F26" s="581">
        <v>0.47499999999999998</v>
      </c>
      <c r="G26" s="581">
        <v>1.3549</v>
      </c>
      <c r="H26" s="581">
        <v>1.4219999999999999</v>
      </c>
    </row>
    <row r="27" spans="1:8">
      <c r="A27" s="581">
        <v>21</v>
      </c>
      <c r="B27" s="581" t="s">
        <v>1540</v>
      </c>
      <c r="C27" s="581">
        <v>1</v>
      </c>
      <c r="D27" s="581">
        <v>0</v>
      </c>
      <c r="E27" s="581">
        <v>0</v>
      </c>
      <c r="F27" s="581">
        <v>0</v>
      </c>
      <c r="G27" s="581">
        <v>0</v>
      </c>
      <c r="H27" s="581">
        <v>0</v>
      </c>
    </row>
    <row r="28" spans="1:8">
      <c r="A28" s="581">
        <v>22</v>
      </c>
      <c r="B28" s="581" t="s">
        <v>1541</v>
      </c>
      <c r="C28" s="581">
        <v>1</v>
      </c>
      <c r="D28" s="581">
        <v>0</v>
      </c>
      <c r="E28" s="581">
        <v>0</v>
      </c>
      <c r="F28" s="581">
        <v>0</v>
      </c>
      <c r="G28" s="581">
        <v>0</v>
      </c>
      <c r="H28" s="581">
        <v>0</v>
      </c>
    </row>
    <row r="29" spans="1:8">
      <c r="A29" s="581">
        <v>23</v>
      </c>
      <c r="B29" s="581" t="s">
        <v>1542</v>
      </c>
      <c r="C29" s="581">
        <v>1.3933</v>
      </c>
      <c r="D29" s="581">
        <v>0.32190000000000002</v>
      </c>
      <c r="E29" s="581">
        <v>7.1573000000000002</v>
      </c>
      <c r="F29" s="581">
        <v>0.60570000000000002</v>
      </c>
      <c r="G29" s="581">
        <v>1.4514</v>
      </c>
      <c r="H29" s="581">
        <v>1.6415</v>
      </c>
    </row>
    <row r="30" spans="1:8">
      <c r="A30" s="581">
        <v>24</v>
      </c>
      <c r="B30" s="581" t="s">
        <v>1543</v>
      </c>
      <c r="C30" s="581">
        <v>1.1518999999999999</v>
      </c>
      <c r="D30" s="581">
        <v>0.1981</v>
      </c>
      <c r="E30" s="581">
        <v>2.7997000000000001</v>
      </c>
      <c r="F30" s="581">
        <v>0.29799999999999999</v>
      </c>
      <c r="G30" s="581">
        <v>1.2326999999999999</v>
      </c>
      <c r="H30" s="581">
        <v>1.6566000000000001</v>
      </c>
    </row>
    <row r="31" spans="1:8">
      <c r="A31" s="581">
        <v>25</v>
      </c>
      <c r="B31" s="581" t="s">
        <v>1544</v>
      </c>
      <c r="C31" s="581">
        <v>1.2218</v>
      </c>
      <c r="D31" s="581">
        <v>0.24440000000000001</v>
      </c>
      <c r="E31" s="581">
        <v>3.3555000000000001</v>
      </c>
      <c r="F31" s="581">
        <v>0.46989999999999998</v>
      </c>
      <c r="G31" s="581">
        <v>1.3154999999999999</v>
      </c>
      <c r="H31" s="581">
        <v>1.9115</v>
      </c>
    </row>
    <row r="32" spans="1:8">
      <c r="A32" s="581">
        <v>26</v>
      </c>
      <c r="B32" s="581" t="s">
        <v>1545</v>
      </c>
      <c r="C32" s="581">
        <v>1.2198</v>
      </c>
      <c r="D32" s="581">
        <v>0.1832</v>
      </c>
      <c r="E32" s="581">
        <v>3.9975999999999998</v>
      </c>
      <c r="F32" s="581">
        <v>0.45850000000000002</v>
      </c>
      <c r="G32" s="581">
        <v>1.4041999999999999</v>
      </c>
      <c r="H32" s="581">
        <v>1.5523</v>
      </c>
    </row>
    <row r="33" spans="1:8">
      <c r="A33" s="581">
        <v>27</v>
      </c>
      <c r="B33" s="581" t="s">
        <v>1546</v>
      </c>
      <c r="C33" s="581">
        <v>1.3388</v>
      </c>
      <c r="D33" s="581">
        <v>0.33450000000000002</v>
      </c>
      <c r="E33" s="581">
        <v>5.8098999999999998</v>
      </c>
      <c r="F33" s="581">
        <v>0.85750000000000004</v>
      </c>
      <c r="G33" s="581">
        <v>1.3599000000000001</v>
      </c>
      <c r="H33" s="581">
        <v>1.7728999999999999</v>
      </c>
    </row>
    <row r="34" spans="1:8">
      <c r="A34" s="581">
        <v>28</v>
      </c>
      <c r="B34" s="581" t="s">
        <v>1547</v>
      </c>
      <c r="C34" s="581">
        <v>1.4273</v>
      </c>
      <c r="D34" s="581">
        <v>0.42359999999999998</v>
      </c>
      <c r="E34" s="581">
        <v>14.505100000000001</v>
      </c>
      <c r="F34" s="581">
        <v>0.93740000000000001</v>
      </c>
      <c r="G34" s="581">
        <v>1.3146</v>
      </c>
      <c r="H34" s="581">
        <v>1.2794000000000001</v>
      </c>
    </row>
    <row r="35" spans="1:8">
      <c r="A35" s="581">
        <v>29</v>
      </c>
      <c r="B35" s="581" t="s">
        <v>1548</v>
      </c>
      <c r="C35" s="581">
        <v>1.306</v>
      </c>
      <c r="D35" s="581">
        <v>0.2772</v>
      </c>
      <c r="E35" s="581">
        <v>5.7382</v>
      </c>
      <c r="F35" s="581">
        <v>0.5484</v>
      </c>
      <c r="G35" s="581">
        <v>1.4552</v>
      </c>
      <c r="H35" s="581">
        <v>1.7848999999999999</v>
      </c>
    </row>
    <row r="36" spans="1:8">
      <c r="A36" s="581">
        <v>30</v>
      </c>
      <c r="B36" s="581" t="s">
        <v>1549</v>
      </c>
      <c r="C36" s="581">
        <v>1</v>
      </c>
      <c r="D36" s="581">
        <v>0</v>
      </c>
      <c r="E36" s="581">
        <v>0</v>
      </c>
      <c r="F36" s="581">
        <v>0</v>
      </c>
      <c r="G36" s="581">
        <v>0</v>
      </c>
      <c r="H36" s="581">
        <v>0</v>
      </c>
    </row>
    <row r="37" spans="1:8">
      <c r="A37" s="581">
        <v>31</v>
      </c>
      <c r="B37" s="581" t="s">
        <v>1550</v>
      </c>
      <c r="C37" s="581">
        <v>1.335</v>
      </c>
      <c r="D37" s="581">
        <v>0.25009999999999999</v>
      </c>
      <c r="E37" s="581">
        <v>4.1387</v>
      </c>
      <c r="F37" s="581">
        <v>0.56899999999999995</v>
      </c>
      <c r="G37" s="581">
        <v>1.5488</v>
      </c>
      <c r="H37" s="581">
        <v>2.4462000000000002</v>
      </c>
    </row>
    <row r="38" spans="1:8">
      <c r="A38" s="581">
        <v>32</v>
      </c>
      <c r="B38" s="581" t="s">
        <v>1551</v>
      </c>
      <c r="C38" s="581">
        <v>1.3717999999999999</v>
      </c>
      <c r="D38" s="581">
        <v>0.3584</v>
      </c>
      <c r="E38" s="581">
        <v>8.2281999999999993</v>
      </c>
      <c r="F38" s="581">
        <v>0.66269999999999996</v>
      </c>
      <c r="G38" s="581">
        <v>1.4094</v>
      </c>
      <c r="H38" s="581">
        <v>1.5725</v>
      </c>
    </row>
    <row r="39" spans="1:8">
      <c r="A39" s="581">
        <v>33</v>
      </c>
      <c r="B39" s="581" t="s">
        <v>1552</v>
      </c>
      <c r="C39" s="581">
        <v>1.3563000000000001</v>
      </c>
      <c r="D39" s="581">
        <v>0.42570000000000002</v>
      </c>
      <c r="E39" s="581">
        <v>16.463999999999999</v>
      </c>
      <c r="F39" s="581">
        <v>0.76519999999999999</v>
      </c>
      <c r="G39" s="581">
        <v>1.2836000000000001</v>
      </c>
      <c r="H39" s="581">
        <v>1.1988000000000001</v>
      </c>
    </row>
    <row r="40" spans="1:8">
      <c r="A40" s="581">
        <v>34</v>
      </c>
      <c r="B40" s="581" t="s">
        <v>1553</v>
      </c>
      <c r="C40" s="581">
        <v>1</v>
      </c>
      <c r="D40" s="581">
        <v>0</v>
      </c>
      <c r="E40" s="581">
        <v>0</v>
      </c>
      <c r="F40" s="581">
        <v>0</v>
      </c>
      <c r="G40" s="581">
        <v>0</v>
      </c>
      <c r="H40" s="581">
        <v>0</v>
      </c>
    </row>
    <row r="41" spans="1:8">
      <c r="A41" s="581">
        <v>35</v>
      </c>
      <c r="B41" s="581" t="s">
        <v>1554</v>
      </c>
      <c r="C41" s="581">
        <v>1.5226</v>
      </c>
      <c r="D41" s="581">
        <v>0.65910000000000002</v>
      </c>
      <c r="E41" s="581">
        <v>14.8482</v>
      </c>
      <c r="F41" s="581">
        <v>1.0025999999999999</v>
      </c>
      <c r="G41" s="581">
        <v>1.2561</v>
      </c>
      <c r="H41" s="581">
        <v>1.3945000000000001</v>
      </c>
    </row>
    <row r="42" spans="1:8">
      <c r="A42" s="581">
        <v>36</v>
      </c>
      <c r="B42" s="581" t="s">
        <v>1555</v>
      </c>
      <c r="C42" s="581">
        <v>1.4963</v>
      </c>
      <c r="D42" s="581">
        <v>0.54720000000000002</v>
      </c>
      <c r="E42" s="581">
        <v>13.5975</v>
      </c>
      <c r="F42" s="581">
        <v>1.004</v>
      </c>
      <c r="G42" s="581">
        <v>1.2751999999999999</v>
      </c>
      <c r="H42" s="581">
        <v>1.3833</v>
      </c>
    </row>
    <row r="43" spans="1:8">
      <c r="A43" s="581">
        <v>37</v>
      </c>
      <c r="B43" s="581" t="s">
        <v>1556</v>
      </c>
      <c r="C43" s="581">
        <v>1.4283999999999999</v>
      </c>
      <c r="D43" s="581">
        <v>0.41670000000000001</v>
      </c>
      <c r="E43" s="581">
        <v>7.6109999999999998</v>
      </c>
      <c r="F43" s="581">
        <v>0.7006</v>
      </c>
      <c r="G43" s="581">
        <v>1.3663000000000001</v>
      </c>
      <c r="H43" s="581">
        <v>1.6994</v>
      </c>
    </row>
    <row r="44" spans="1:8">
      <c r="A44" s="581">
        <v>38</v>
      </c>
      <c r="B44" s="581" t="s">
        <v>1557</v>
      </c>
      <c r="C44" s="581">
        <v>1.3423</v>
      </c>
      <c r="D44" s="581">
        <v>0.35089999999999999</v>
      </c>
      <c r="E44" s="581">
        <v>10.3055</v>
      </c>
      <c r="F44" s="581">
        <v>0.81040000000000001</v>
      </c>
      <c r="G44" s="581">
        <v>1.3196000000000001</v>
      </c>
      <c r="H44" s="581">
        <v>1.3373999999999999</v>
      </c>
    </row>
    <row r="45" spans="1:8">
      <c r="A45" s="581">
        <v>39</v>
      </c>
      <c r="B45" s="581" t="s">
        <v>1558</v>
      </c>
      <c r="C45" s="581">
        <v>1.3709</v>
      </c>
      <c r="D45" s="581">
        <v>0.44330000000000003</v>
      </c>
      <c r="E45" s="581">
        <v>5.8202999999999996</v>
      </c>
      <c r="F45" s="581">
        <v>0.6653</v>
      </c>
      <c r="G45" s="581">
        <v>1.2861</v>
      </c>
      <c r="H45" s="581">
        <v>1.8935999999999999</v>
      </c>
    </row>
    <row r="46" spans="1:8">
      <c r="A46" s="581">
        <v>40</v>
      </c>
      <c r="B46" s="581" t="s">
        <v>1559</v>
      </c>
      <c r="C46" s="581">
        <v>1.3248</v>
      </c>
      <c r="D46" s="581">
        <v>0.19359999999999999</v>
      </c>
      <c r="E46" s="581">
        <v>3.4581</v>
      </c>
      <c r="F46" s="581">
        <v>0.74609999999999999</v>
      </c>
      <c r="G46" s="581">
        <v>1.6394</v>
      </c>
      <c r="H46" s="581">
        <v>2.3174999999999999</v>
      </c>
    </row>
    <row r="47" spans="1:8">
      <c r="A47" s="581">
        <v>41</v>
      </c>
      <c r="B47" s="581" t="s">
        <v>1560</v>
      </c>
      <c r="C47" s="581">
        <v>1.3757999999999999</v>
      </c>
      <c r="D47" s="581">
        <v>0.2611</v>
      </c>
      <c r="E47" s="581">
        <v>4.7557</v>
      </c>
      <c r="F47" s="581">
        <v>0.70530000000000004</v>
      </c>
      <c r="G47" s="581">
        <v>1.5633999999999999</v>
      </c>
      <c r="H47" s="581">
        <v>2.3725999999999998</v>
      </c>
    </row>
    <row r="48" spans="1:8">
      <c r="A48" s="581">
        <v>42</v>
      </c>
      <c r="B48" s="581" t="s">
        <v>1561</v>
      </c>
      <c r="C48" s="581">
        <v>1.4778</v>
      </c>
      <c r="D48" s="581">
        <v>0.3337</v>
      </c>
      <c r="E48" s="581">
        <v>6.6166</v>
      </c>
      <c r="F48" s="581">
        <v>0.77490000000000003</v>
      </c>
      <c r="G48" s="581">
        <v>1.6072</v>
      </c>
      <c r="H48" s="581">
        <v>2.0909</v>
      </c>
    </row>
    <row r="49" spans="1:8">
      <c r="A49" s="581">
        <v>43</v>
      </c>
      <c r="B49" s="581" t="s">
        <v>1562</v>
      </c>
      <c r="C49" s="581">
        <v>1.5037</v>
      </c>
      <c r="D49" s="581">
        <v>0.49869999999999998</v>
      </c>
      <c r="E49" s="581">
        <v>8.7805</v>
      </c>
      <c r="F49" s="581">
        <v>0.84</v>
      </c>
      <c r="G49" s="581">
        <v>1.3334999999999999</v>
      </c>
      <c r="H49" s="581">
        <v>1.7157</v>
      </c>
    </row>
    <row r="50" spans="1:8">
      <c r="A50" s="581">
        <v>44</v>
      </c>
      <c r="B50" s="581" t="s">
        <v>1563</v>
      </c>
      <c r="C50" s="581">
        <v>1.5267999999999999</v>
      </c>
      <c r="D50" s="581">
        <v>0.4662</v>
      </c>
      <c r="E50" s="581">
        <v>7.8352000000000004</v>
      </c>
      <c r="F50" s="581">
        <v>0.99950000000000006</v>
      </c>
      <c r="G50" s="581">
        <v>1.4471000000000001</v>
      </c>
      <c r="H50" s="581">
        <v>1.8386</v>
      </c>
    </row>
    <row r="51" spans="1:8">
      <c r="A51" s="581">
        <v>45</v>
      </c>
      <c r="B51" s="581" t="s">
        <v>1564</v>
      </c>
      <c r="C51" s="581">
        <v>1</v>
      </c>
      <c r="D51" s="581">
        <v>0</v>
      </c>
      <c r="E51" s="581">
        <v>0</v>
      </c>
      <c r="F51" s="581">
        <v>0</v>
      </c>
      <c r="G51" s="581">
        <v>0</v>
      </c>
      <c r="H51" s="581">
        <v>0</v>
      </c>
    </row>
    <row r="52" spans="1:8">
      <c r="A52" s="581">
        <v>46</v>
      </c>
      <c r="B52" s="581" t="s">
        <v>1565</v>
      </c>
      <c r="C52" s="581">
        <v>1.2624</v>
      </c>
      <c r="D52" s="581">
        <v>0.1249</v>
      </c>
      <c r="E52" s="581">
        <v>7.9446000000000003</v>
      </c>
      <c r="F52" s="581">
        <v>0.85529999999999995</v>
      </c>
      <c r="G52" s="581">
        <v>1.7951999999999999</v>
      </c>
      <c r="H52" s="581">
        <v>1.2873000000000001</v>
      </c>
    </row>
    <row r="53" spans="1:8">
      <c r="A53" s="581">
        <v>47</v>
      </c>
      <c r="B53" s="581" t="s">
        <v>1566</v>
      </c>
      <c r="C53" s="581">
        <v>1.4392</v>
      </c>
      <c r="D53" s="581">
        <v>0.31940000000000002</v>
      </c>
      <c r="E53" s="581">
        <v>6.0994000000000002</v>
      </c>
      <c r="F53" s="581">
        <v>0.91700000000000004</v>
      </c>
      <c r="G53" s="581">
        <v>1.542</v>
      </c>
      <c r="H53" s="581">
        <v>1.9459</v>
      </c>
    </row>
    <row r="54" spans="1:8">
      <c r="A54" s="581">
        <v>48</v>
      </c>
      <c r="B54" s="581" t="s">
        <v>1567</v>
      </c>
      <c r="C54" s="581">
        <v>1.5173000000000001</v>
      </c>
      <c r="D54" s="581">
        <v>0.57450000000000001</v>
      </c>
      <c r="E54" s="581">
        <v>10.3812</v>
      </c>
      <c r="F54" s="581">
        <v>0.99399999999999999</v>
      </c>
      <c r="G54" s="581">
        <v>1.294</v>
      </c>
      <c r="H54" s="581">
        <v>1.637</v>
      </c>
    </row>
    <row r="55" spans="1:8">
      <c r="A55" s="581">
        <v>49</v>
      </c>
      <c r="B55" s="581" t="s">
        <v>1568</v>
      </c>
      <c r="C55" s="581">
        <v>1.5049999999999999</v>
      </c>
      <c r="D55" s="581">
        <v>0.5867</v>
      </c>
      <c r="E55" s="581">
        <v>7.6599000000000004</v>
      </c>
      <c r="F55" s="581">
        <v>0.95979999999999999</v>
      </c>
      <c r="G55" s="581">
        <v>1.2828999999999999</v>
      </c>
      <c r="H55" s="581">
        <v>2.0234999999999999</v>
      </c>
    </row>
    <row r="56" spans="1:8">
      <c r="A56" s="581">
        <v>50</v>
      </c>
      <c r="B56" s="581" t="s">
        <v>1569</v>
      </c>
      <c r="C56" s="581">
        <v>1.4493</v>
      </c>
      <c r="D56" s="581">
        <v>0.4854</v>
      </c>
      <c r="E56" s="581">
        <v>17.468499999999999</v>
      </c>
      <c r="F56" s="581">
        <v>0.9163</v>
      </c>
      <c r="G56" s="581">
        <v>1.3104</v>
      </c>
      <c r="H56" s="581">
        <v>1.2511000000000001</v>
      </c>
    </row>
    <row r="57" spans="1:8">
      <c r="A57" s="581">
        <v>51</v>
      </c>
      <c r="B57" s="581" t="s">
        <v>1570</v>
      </c>
      <c r="C57" s="581">
        <v>1.4850000000000001</v>
      </c>
      <c r="D57" s="581">
        <v>0.3856</v>
      </c>
      <c r="E57" s="581">
        <v>7.843</v>
      </c>
      <c r="F57" s="581">
        <v>0.80649999999999999</v>
      </c>
      <c r="G57" s="581">
        <v>1.4961</v>
      </c>
      <c r="H57" s="581">
        <v>1.7763</v>
      </c>
    </row>
    <row r="58" spans="1:8">
      <c r="A58" s="581">
        <v>52</v>
      </c>
      <c r="B58" s="581" t="s">
        <v>1571</v>
      </c>
      <c r="C58" s="581">
        <v>1.5048999999999999</v>
      </c>
      <c r="D58" s="581">
        <v>0.60409999999999997</v>
      </c>
      <c r="E58" s="581">
        <v>20.7944</v>
      </c>
      <c r="F58" s="581">
        <v>0.96399999999999997</v>
      </c>
      <c r="G58" s="581">
        <v>1.2463</v>
      </c>
      <c r="H58" s="581">
        <v>1.2339</v>
      </c>
    </row>
    <row r="59" spans="1:8">
      <c r="A59" s="581">
        <v>53</v>
      </c>
      <c r="B59" s="581" t="s">
        <v>1572</v>
      </c>
      <c r="C59" s="581">
        <v>1.5407999999999999</v>
      </c>
      <c r="D59" s="581">
        <v>0.58760000000000001</v>
      </c>
      <c r="E59" s="581">
        <v>11.8505</v>
      </c>
      <c r="F59" s="581">
        <v>0.96879999999999999</v>
      </c>
      <c r="G59" s="581">
        <v>1.3102</v>
      </c>
      <c r="H59" s="581">
        <v>1.5524</v>
      </c>
    </row>
    <row r="60" spans="1:8">
      <c r="A60" s="581">
        <v>54</v>
      </c>
      <c r="B60" s="581" t="s">
        <v>1573</v>
      </c>
      <c r="C60" s="581">
        <v>1.5831999999999999</v>
      </c>
      <c r="D60" s="581">
        <v>0.50280000000000002</v>
      </c>
      <c r="E60" s="581">
        <v>11.025600000000001</v>
      </c>
      <c r="F60" s="581">
        <v>0.9022</v>
      </c>
      <c r="G60" s="581">
        <v>1.3602000000000001</v>
      </c>
      <c r="H60" s="581">
        <v>1.6423000000000001</v>
      </c>
    </row>
    <row r="61" spans="1:8">
      <c r="A61" s="581">
        <v>55</v>
      </c>
      <c r="B61" s="581" t="s">
        <v>1574</v>
      </c>
      <c r="C61" s="581">
        <v>1.5241</v>
      </c>
      <c r="D61" s="581">
        <v>0.57120000000000004</v>
      </c>
      <c r="E61" s="581">
        <v>17.773099999999999</v>
      </c>
      <c r="F61" s="581">
        <v>0.99739999999999995</v>
      </c>
      <c r="G61" s="581">
        <v>1.2796000000000001</v>
      </c>
      <c r="H61" s="581">
        <v>1.2919</v>
      </c>
    </row>
    <row r="62" spans="1:8">
      <c r="A62" s="581">
        <v>56</v>
      </c>
      <c r="B62" s="581" t="s">
        <v>1575</v>
      </c>
      <c r="C62" s="581">
        <v>1.5569999999999999</v>
      </c>
      <c r="D62" s="581">
        <v>0.61739999999999995</v>
      </c>
      <c r="E62" s="581">
        <v>26.336600000000001</v>
      </c>
      <c r="F62" s="581">
        <v>0.98509999999999998</v>
      </c>
      <c r="G62" s="581">
        <v>1.2771999999999999</v>
      </c>
      <c r="H62" s="581">
        <v>1.1940999999999999</v>
      </c>
    </row>
    <row r="63" spans="1:8">
      <c r="A63" s="581">
        <v>57</v>
      </c>
      <c r="B63" s="581" t="s">
        <v>1576</v>
      </c>
      <c r="C63" s="581">
        <v>1.5931999999999999</v>
      </c>
      <c r="D63" s="581">
        <v>0.47060000000000002</v>
      </c>
      <c r="E63" s="581">
        <v>16.6462</v>
      </c>
      <c r="F63" s="581">
        <v>0.97719999999999996</v>
      </c>
      <c r="G63" s="581">
        <v>1.3712</v>
      </c>
      <c r="H63" s="581">
        <v>1.3451</v>
      </c>
    </row>
    <row r="64" spans="1:8">
      <c r="A64" s="581">
        <v>58</v>
      </c>
      <c r="B64" s="581" t="s">
        <v>1577</v>
      </c>
      <c r="C64" s="581">
        <v>1.4187000000000001</v>
      </c>
      <c r="D64" s="581">
        <v>0.40839999999999999</v>
      </c>
      <c r="E64" s="581">
        <v>19.240300000000001</v>
      </c>
      <c r="F64" s="581">
        <v>0.91200000000000003</v>
      </c>
      <c r="G64" s="581">
        <v>1.3295999999999999</v>
      </c>
      <c r="H64" s="581">
        <v>1.1923999999999999</v>
      </c>
    </row>
    <row r="65" spans="1:8">
      <c r="A65" s="581">
        <v>59</v>
      </c>
      <c r="B65" s="581" t="s">
        <v>1578</v>
      </c>
      <c r="C65" s="581">
        <v>1.5059</v>
      </c>
      <c r="D65" s="581">
        <v>0.3836</v>
      </c>
      <c r="E65" s="581">
        <v>10.624000000000001</v>
      </c>
      <c r="F65" s="581">
        <v>0.85619999999999996</v>
      </c>
      <c r="G65" s="581">
        <v>1.5135000000000001</v>
      </c>
      <c r="H65" s="581">
        <v>1.5482</v>
      </c>
    </row>
    <row r="66" spans="1:8">
      <c r="A66" s="581">
        <v>60</v>
      </c>
      <c r="B66" s="581" t="s">
        <v>1579</v>
      </c>
      <c r="C66" s="581">
        <v>1.4709000000000001</v>
      </c>
      <c r="D66" s="581">
        <v>0.42020000000000002</v>
      </c>
      <c r="E66" s="581">
        <v>20.018699999999999</v>
      </c>
      <c r="F66" s="581">
        <v>0.82479999999999998</v>
      </c>
      <c r="G66" s="581">
        <v>1.3615999999999999</v>
      </c>
      <c r="H66" s="581">
        <v>1.2015</v>
      </c>
    </row>
    <row r="67" spans="1:8">
      <c r="A67" s="581">
        <v>61</v>
      </c>
      <c r="B67" s="581" t="s">
        <v>1580</v>
      </c>
      <c r="C67" s="581">
        <v>1.5666</v>
      </c>
      <c r="D67" s="581">
        <v>0.44290000000000002</v>
      </c>
      <c r="E67" s="581">
        <v>11.6874</v>
      </c>
      <c r="F67" s="581">
        <v>0.90090000000000003</v>
      </c>
      <c r="G67" s="581">
        <v>1.4630000000000001</v>
      </c>
      <c r="H67" s="581">
        <v>1.5223</v>
      </c>
    </row>
    <row r="68" spans="1:8">
      <c r="A68" s="581">
        <v>62</v>
      </c>
      <c r="B68" s="581" t="s">
        <v>1581</v>
      </c>
      <c r="C68" s="581">
        <v>0.72889999999999999</v>
      </c>
      <c r="D68" s="581">
        <v>0.18629999999999999</v>
      </c>
      <c r="E68" s="581">
        <v>6.0057999999999998</v>
      </c>
      <c r="F68" s="581">
        <v>0.45219999999999999</v>
      </c>
      <c r="G68" s="581">
        <v>0</v>
      </c>
      <c r="H68" s="581">
        <v>0</v>
      </c>
    </row>
    <row r="70" spans="1:8">
      <c r="C70" s="581">
        <f>SUM(C6:C68)</f>
        <v>82.61630000000001</v>
      </c>
      <c r="D70" s="581">
        <f t="shared" ref="D70:H70" si="0">SUM(D6:D68)</f>
        <v>19.64350000000001</v>
      </c>
      <c r="E70" s="581">
        <f t="shared" si="0"/>
        <v>504.96930000000003</v>
      </c>
      <c r="F70" s="581">
        <f t="shared" si="0"/>
        <v>39.57500000000001</v>
      </c>
      <c r="G70" s="581">
        <f t="shared" si="0"/>
        <v>73.561999999999969</v>
      </c>
      <c r="H70" s="581">
        <f t="shared" si="0"/>
        <v>85.33280000000002</v>
      </c>
    </row>
    <row r="71" spans="1:8">
      <c r="C71" s="581">
        <f>C70-SUM(capemay!B2:B63)</f>
        <v>0.50350000000003092</v>
      </c>
      <c r="D71" s="581">
        <f>D70-SUM(capemay!C2:C63)</f>
        <v>-0.23889999999998679</v>
      </c>
      <c r="E71" s="581">
        <f>E70-SUM(capemay!D2:D63)</f>
        <v>-13.594200000000171</v>
      </c>
      <c r="F71" s="581">
        <f>F70-SUM(capemay!E2:E63)</f>
        <v>-1.2695000000000007</v>
      </c>
      <c r="G71" s="581">
        <f>G70-SUM(capemay!F2:F63)</f>
        <v>0.9487999999999488</v>
      </c>
      <c r="H71" s="581">
        <f>H70-SUM(capemay!G2:G63)</f>
        <v>1.635900000000035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H71"/>
  <sheetViews>
    <sheetView topLeftCell="A69" workbookViewId="0">
      <selection activeCell="D69" sqref="D69"/>
    </sheetView>
  </sheetViews>
  <sheetFormatPr defaultColWidth="9.109375" defaultRowHeight="14.4"/>
  <cols>
    <col min="1" max="16384" width="9.109375" style="581"/>
  </cols>
  <sheetData>
    <row r="1" spans="1:8">
      <c r="A1" s="581" t="s">
        <v>1513</v>
      </c>
    </row>
    <row r="2" spans="1:8">
      <c r="A2" s="581" t="s">
        <v>1583</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1.3519000000000001</v>
      </c>
      <c r="D7" s="581">
        <v>0.2039</v>
      </c>
      <c r="E7" s="581">
        <v>8.4154999999999998</v>
      </c>
      <c r="F7" s="581">
        <v>0.60560000000000003</v>
      </c>
      <c r="G7" s="581">
        <v>1.3957999999999999</v>
      </c>
      <c r="H7" s="581">
        <v>1.2091000000000001</v>
      </c>
    </row>
    <row r="8" spans="1:8">
      <c r="A8" s="581">
        <v>2</v>
      </c>
      <c r="B8" s="581" t="s">
        <v>1521</v>
      </c>
      <c r="C8" s="581">
        <v>1.4</v>
      </c>
      <c r="D8" s="581">
        <v>0.38019999999999998</v>
      </c>
      <c r="E8" s="581">
        <v>16.476600000000001</v>
      </c>
      <c r="F8" s="581">
        <v>0.90629999999999999</v>
      </c>
      <c r="G8" s="581">
        <v>1.2251000000000001</v>
      </c>
      <c r="H8" s="581">
        <v>1.1232</v>
      </c>
    </row>
    <row r="9" spans="1:8">
      <c r="A9" s="581">
        <v>3</v>
      </c>
      <c r="B9" s="581" t="s">
        <v>1522</v>
      </c>
      <c r="C9" s="581">
        <v>1</v>
      </c>
      <c r="D9" s="581">
        <v>0</v>
      </c>
      <c r="E9" s="581">
        <v>0</v>
      </c>
      <c r="F9" s="581">
        <v>0</v>
      </c>
      <c r="G9" s="581">
        <v>0</v>
      </c>
      <c r="H9" s="581">
        <v>0</v>
      </c>
    </row>
    <row r="10" spans="1:8">
      <c r="A10" s="581">
        <v>4</v>
      </c>
      <c r="B10" s="581" t="s">
        <v>1523</v>
      </c>
      <c r="C10" s="581">
        <v>1.4397</v>
      </c>
      <c r="D10" s="581">
        <v>0.14929999999999999</v>
      </c>
      <c r="E10" s="581">
        <v>2.6360000000000001</v>
      </c>
      <c r="F10" s="581">
        <v>0.76429999999999998</v>
      </c>
      <c r="G10" s="581">
        <v>1.8351999999999999</v>
      </c>
      <c r="H10" s="581">
        <v>2.1333000000000002</v>
      </c>
    </row>
    <row r="11" spans="1:8">
      <c r="A11" s="581">
        <v>5</v>
      </c>
      <c r="B11" s="581" t="s">
        <v>1524</v>
      </c>
      <c r="C11" s="581">
        <v>1.9019999999999999</v>
      </c>
      <c r="D11" s="581">
        <v>0.39939999999999998</v>
      </c>
      <c r="E11" s="581">
        <v>8.3290000000000006</v>
      </c>
      <c r="F11" s="581">
        <v>0.86750000000000005</v>
      </c>
      <c r="G11" s="581">
        <v>1.7578</v>
      </c>
      <c r="H11" s="581">
        <v>1.7493000000000001</v>
      </c>
    </row>
    <row r="12" spans="1:8">
      <c r="A12" s="581">
        <v>6</v>
      </c>
      <c r="B12" s="581" t="s">
        <v>1525</v>
      </c>
      <c r="C12" s="581">
        <v>1.1318999999999999</v>
      </c>
      <c r="D12" s="581">
        <v>7.6999999999999999E-2</v>
      </c>
      <c r="E12" s="581">
        <v>1.0528</v>
      </c>
      <c r="F12" s="581">
        <v>0.65369999999999995</v>
      </c>
      <c r="G12" s="581">
        <v>1.4271</v>
      </c>
      <c r="H12" s="581">
        <v>2.0920000000000001</v>
      </c>
    </row>
    <row r="13" spans="1:8">
      <c r="A13" s="581">
        <v>7</v>
      </c>
      <c r="B13" s="581" t="s">
        <v>1526</v>
      </c>
      <c r="C13" s="581">
        <v>1.637</v>
      </c>
      <c r="D13" s="581">
        <v>0.3125</v>
      </c>
      <c r="E13" s="581">
        <v>6.4964000000000004</v>
      </c>
      <c r="F13" s="581">
        <v>0.86739999999999995</v>
      </c>
      <c r="G13" s="581">
        <v>1.5472999999999999</v>
      </c>
      <c r="H13" s="581">
        <v>1.6850000000000001</v>
      </c>
    </row>
    <row r="14" spans="1:8">
      <c r="A14" s="581">
        <v>8</v>
      </c>
      <c r="B14" s="581" t="s">
        <v>1527</v>
      </c>
      <c r="C14" s="581">
        <v>1.5965</v>
      </c>
      <c r="D14" s="581">
        <v>0.21629999999999999</v>
      </c>
      <c r="E14" s="581">
        <v>5.1440000000000001</v>
      </c>
      <c r="F14" s="581">
        <v>0.61209999999999998</v>
      </c>
      <c r="G14" s="581">
        <v>1.8456999999999999</v>
      </c>
      <c r="H14" s="581">
        <v>1.7211000000000001</v>
      </c>
    </row>
    <row r="15" spans="1:8">
      <c r="A15" s="581">
        <v>9</v>
      </c>
      <c r="B15" s="581" t="s">
        <v>1528</v>
      </c>
      <c r="C15" s="581">
        <v>1.5928</v>
      </c>
      <c r="D15" s="581">
        <v>0.20610000000000001</v>
      </c>
      <c r="E15" s="581">
        <v>4.1295999999999999</v>
      </c>
      <c r="F15" s="581">
        <v>0.7137</v>
      </c>
      <c r="G15" s="581">
        <v>1.8172999999999999</v>
      </c>
      <c r="H15" s="581">
        <v>1.9499</v>
      </c>
    </row>
    <row r="16" spans="1:8">
      <c r="A16" s="581">
        <v>10</v>
      </c>
      <c r="B16" s="581" t="s">
        <v>1529</v>
      </c>
      <c r="C16" s="581">
        <v>1.7881</v>
      </c>
      <c r="D16" s="581">
        <v>0.14510000000000001</v>
      </c>
      <c r="E16" s="581">
        <v>2.7210999999999999</v>
      </c>
      <c r="F16" s="581">
        <v>0.5726</v>
      </c>
      <c r="G16" s="581">
        <v>2.6840999999999999</v>
      </c>
      <c r="H16" s="581">
        <v>3.0682</v>
      </c>
    </row>
    <row r="17" spans="1:8">
      <c r="A17" s="581">
        <v>11</v>
      </c>
      <c r="B17" s="581" t="s">
        <v>1530</v>
      </c>
      <c r="C17" s="581">
        <v>1.6107</v>
      </c>
      <c r="D17" s="581">
        <v>0.21060000000000001</v>
      </c>
      <c r="E17" s="581">
        <v>4.2759</v>
      </c>
      <c r="F17" s="581">
        <v>0.72260000000000002</v>
      </c>
      <c r="G17" s="581">
        <v>1.7882</v>
      </c>
      <c r="H17" s="581">
        <v>1.8994</v>
      </c>
    </row>
    <row r="18" spans="1:8">
      <c r="A18" s="581">
        <v>12</v>
      </c>
      <c r="B18" s="581" t="s">
        <v>1531</v>
      </c>
      <c r="C18" s="581">
        <v>1.5471999999999999</v>
      </c>
      <c r="D18" s="581">
        <v>0.19719999999999999</v>
      </c>
      <c r="E18" s="581">
        <v>3.5537999999999998</v>
      </c>
      <c r="F18" s="581">
        <v>0.65780000000000005</v>
      </c>
      <c r="G18" s="581">
        <v>1.8206</v>
      </c>
      <c r="H18" s="581">
        <v>2.0811000000000002</v>
      </c>
    </row>
    <row r="19" spans="1:8">
      <c r="A19" s="581">
        <v>13</v>
      </c>
      <c r="B19" s="581" t="s">
        <v>1532</v>
      </c>
      <c r="C19" s="581">
        <v>1.5249999999999999</v>
      </c>
      <c r="D19" s="581">
        <v>0.1855</v>
      </c>
      <c r="E19" s="581">
        <v>2.9872000000000001</v>
      </c>
      <c r="F19" s="581">
        <v>0.8085</v>
      </c>
      <c r="G19" s="581">
        <v>1.9320999999999999</v>
      </c>
      <c r="H19" s="581">
        <v>2.5024999999999999</v>
      </c>
    </row>
    <row r="20" spans="1:8">
      <c r="A20" s="581">
        <v>14</v>
      </c>
      <c r="B20" s="581" t="s">
        <v>1533</v>
      </c>
      <c r="C20" s="581">
        <v>1.4219999999999999</v>
      </c>
      <c r="D20" s="581">
        <v>0.16200000000000001</v>
      </c>
      <c r="E20" s="581">
        <v>3.1011000000000002</v>
      </c>
      <c r="F20" s="581">
        <v>0.66420000000000001</v>
      </c>
      <c r="G20" s="581">
        <v>1.7461</v>
      </c>
      <c r="H20" s="581">
        <v>1.8788</v>
      </c>
    </row>
    <row r="21" spans="1:8">
      <c r="A21" s="581">
        <v>15</v>
      </c>
      <c r="B21" s="581" t="s">
        <v>1534</v>
      </c>
      <c r="C21" s="581">
        <v>1.5099</v>
      </c>
      <c r="D21" s="581">
        <v>0.15670000000000001</v>
      </c>
      <c r="E21" s="581">
        <v>2.9195000000000002</v>
      </c>
      <c r="F21" s="581">
        <v>0.49630000000000002</v>
      </c>
      <c r="G21" s="581">
        <v>2.0588000000000002</v>
      </c>
      <c r="H21" s="581">
        <v>2.2866</v>
      </c>
    </row>
    <row r="22" spans="1:8">
      <c r="A22" s="581">
        <v>16</v>
      </c>
      <c r="B22" s="581" t="s">
        <v>1535</v>
      </c>
      <c r="C22" s="581">
        <v>1.5928</v>
      </c>
      <c r="D22" s="581">
        <v>0.14710000000000001</v>
      </c>
      <c r="E22" s="581">
        <v>2.8481999999999998</v>
      </c>
      <c r="F22" s="581">
        <v>0.66259999999999997</v>
      </c>
      <c r="G22" s="581">
        <v>2.7843</v>
      </c>
      <c r="H22" s="581">
        <v>2.8435000000000001</v>
      </c>
    </row>
    <row r="23" spans="1:8">
      <c r="A23" s="581">
        <v>17</v>
      </c>
      <c r="B23" s="581" t="s">
        <v>1536</v>
      </c>
      <c r="C23" s="581">
        <v>1.5874999999999999</v>
      </c>
      <c r="D23" s="581">
        <v>0.2772</v>
      </c>
      <c r="E23" s="581">
        <v>6.3677000000000001</v>
      </c>
      <c r="F23" s="581">
        <v>0.73670000000000002</v>
      </c>
      <c r="G23" s="581">
        <v>1.5368999999999999</v>
      </c>
      <c r="H23" s="581">
        <v>1.5467</v>
      </c>
    </row>
    <row r="24" spans="1:8">
      <c r="A24" s="581">
        <v>18</v>
      </c>
      <c r="B24" s="581" t="s">
        <v>1537</v>
      </c>
      <c r="C24" s="581">
        <v>1.4931000000000001</v>
      </c>
      <c r="D24" s="581">
        <v>0.25469999999999998</v>
      </c>
      <c r="E24" s="581">
        <v>4.6154999999999999</v>
      </c>
      <c r="F24" s="581">
        <v>0.80220000000000002</v>
      </c>
      <c r="G24" s="581">
        <v>1.4806999999999999</v>
      </c>
      <c r="H24" s="581">
        <v>1.6961999999999999</v>
      </c>
    </row>
    <row r="25" spans="1:8">
      <c r="A25" s="581">
        <v>19</v>
      </c>
      <c r="B25" s="581" t="s">
        <v>1538</v>
      </c>
      <c r="C25" s="581">
        <v>1.5814999999999999</v>
      </c>
      <c r="D25" s="581">
        <v>0.12590000000000001</v>
      </c>
      <c r="E25" s="581">
        <v>2.5819000000000001</v>
      </c>
      <c r="F25" s="581">
        <v>0.55410000000000004</v>
      </c>
      <c r="G25" s="581">
        <v>3.1356000000000002</v>
      </c>
      <c r="H25" s="581">
        <v>2.9426999999999999</v>
      </c>
    </row>
    <row r="26" spans="1:8">
      <c r="A26" s="581">
        <v>20</v>
      </c>
      <c r="B26" s="581" t="s">
        <v>1539</v>
      </c>
      <c r="C26" s="581">
        <v>1.3894</v>
      </c>
      <c r="D26" s="581">
        <v>0.14860000000000001</v>
      </c>
      <c r="E26" s="581">
        <v>3.4241999999999999</v>
      </c>
      <c r="F26" s="581">
        <v>0.51990000000000003</v>
      </c>
      <c r="G26" s="581">
        <v>1.7745</v>
      </c>
      <c r="H26" s="581">
        <v>1.7090000000000001</v>
      </c>
    </row>
    <row r="27" spans="1:8">
      <c r="A27" s="581">
        <v>21</v>
      </c>
      <c r="B27" s="581" t="s">
        <v>1540</v>
      </c>
      <c r="C27" s="581">
        <v>1.7406999999999999</v>
      </c>
      <c r="D27" s="581">
        <v>0.35489999999999999</v>
      </c>
      <c r="E27" s="581">
        <v>8.9685000000000006</v>
      </c>
      <c r="F27" s="581">
        <v>0.84519999999999995</v>
      </c>
      <c r="G27" s="581">
        <v>1.6194</v>
      </c>
      <c r="H27" s="581">
        <v>1.5282</v>
      </c>
    </row>
    <row r="28" spans="1:8">
      <c r="A28" s="581">
        <v>22</v>
      </c>
      <c r="B28" s="581" t="s">
        <v>1541</v>
      </c>
      <c r="C28" s="581">
        <v>1.5630999999999999</v>
      </c>
      <c r="D28" s="581">
        <v>0.1958</v>
      </c>
      <c r="E28" s="581">
        <v>3.5394999999999999</v>
      </c>
      <c r="F28" s="581">
        <v>0.67</v>
      </c>
      <c r="G28" s="581">
        <v>1.8491</v>
      </c>
      <c r="H28" s="581">
        <v>2.1238000000000001</v>
      </c>
    </row>
    <row r="29" spans="1:8">
      <c r="A29" s="581">
        <v>23</v>
      </c>
      <c r="B29" s="581" t="s">
        <v>1542</v>
      </c>
      <c r="C29" s="581">
        <v>1.7319</v>
      </c>
      <c r="D29" s="581">
        <v>0.26129999999999998</v>
      </c>
      <c r="E29" s="581">
        <v>5.4555999999999996</v>
      </c>
      <c r="F29" s="581">
        <v>0.78029999999999999</v>
      </c>
      <c r="G29" s="581">
        <v>1.8839999999999999</v>
      </c>
      <c r="H29" s="581">
        <v>2.0009000000000001</v>
      </c>
    </row>
    <row r="30" spans="1:8">
      <c r="A30" s="581">
        <v>24</v>
      </c>
      <c r="B30" s="581" t="s">
        <v>1543</v>
      </c>
      <c r="C30" s="581">
        <v>1.1088</v>
      </c>
      <c r="D30" s="581">
        <v>4.4600000000000001E-2</v>
      </c>
      <c r="E30" s="581">
        <v>0.64329999999999998</v>
      </c>
      <c r="F30" s="581">
        <v>0.26879999999999998</v>
      </c>
      <c r="G30" s="581">
        <v>1.6397999999999999</v>
      </c>
      <c r="H30" s="581">
        <v>2.2480000000000002</v>
      </c>
    </row>
    <row r="31" spans="1:8">
      <c r="A31" s="581">
        <v>25</v>
      </c>
      <c r="B31" s="581" t="s">
        <v>1544</v>
      </c>
      <c r="C31" s="581">
        <v>1.3876999999999999</v>
      </c>
      <c r="D31" s="581">
        <v>0.13189999999999999</v>
      </c>
      <c r="E31" s="581">
        <v>1.8976</v>
      </c>
      <c r="F31" s="581">
        <v>0.55369999999999997</v>
      </c>
      <c r="G31" s="581">
        <v>2.0051999999999999</v>
      </c>
      <c r="H31" s="581">
        <v>3.0522</v>
      </c>
    </row>
    <row r="32" spans="1:8">
      <c r="A32" s="581">
        <v>26</v>
      </c>
      <c r="B32" s="581" t="s">
        <v>1545</v>
      </c>
      <c r="C32" s="581">
        <v>1.5012000000000001</v>
      </c>
      <c r="D32" s="581">
        <v>0.15090000000000001</v>
      </c>
      <c r="E32" s="581">
        <v>3.0619000000000001</v>
      </c>
      <c r="F32" s="581">
        <v>0.59970000000000001</v>
      </c>
      <c r="G32" s="581">
        <v>2.0962999999999998</v>
      </c>
      <c r="H32" s="581">
        <v>2.1547000000000001</v>
      </c>
    </row>
    <row r="33" spans="1:8">
      <c r="A33" s="581">
        <v>27</v>
      </c>
      <c r="B33" s="581" t="s">
        <v>1546</v>
      </c>
      <c r="C33" s="581">
        <v>1.5399</v>
      </c>
      <c r="D33" s="581">
        <v>0.2626</v>
      </c>
      <c r="E33" s="581">
        <v>4.4919000000000002</v>
      </c>
      <c r="F33" s="581">
        <v>0.97599999999999998</v>
      </c>
      <c r="G33" s="581">
        <v>1.5992999999999999</v>
      </c>
      <c r="H33" s="581">
        <v>2.0535999999999999</v>
      </c>
    </row>
    <row r="34" spans="1:8">
      <c r="A34" s="581">
        <v>28</v>
      </c>
      <c r="B34" s="581" t="s">
        <v>1547</v>
      </c>
      <c r="C34" s="581">
        <v>1.5452999999999999</v>
      </c>
      <c r="D34" s="581">
        <v>0.30769999999999997</v>
      </c>
      <c r="E34" s="581">
        <v>9.9359000000000002</v>
      </c>
      <c r="F34" s="581">
        <v>1.0004999999999999</v>
      </c>
      <c r="G34" s="581">
        <v>1.4224000000000001</v>
      </c>
      <c r="H34" s="581">
        <v>1.3057000000000001</v>
      </c>
    </row>
    <row r="35" spans="1:8">
      <c r="A35" s="581">
        <v>29</v>
      </c>
      <c r="B35" s="581" t="s">
        <v>1548</v>
      </c>
      <c r="C35" s="581">
        <v>1.3327</v>
      </c>
      <c r="D35" s="581">
        <v>0.1293</v>
      </c>
      <c r="E35" s="581">
        <v>2.6412</v>
      </c>
      <c r="F35" s="581">
        <v>0.56179999999999997</v>
      </c>
      <c r="G35" s="581">
        <v>1.8907</v>
      </c>
      <c r="H35" s="581">
        <v>2.2883</v>
      </c>
    </row>
    <row r="36" spans="1:8">
      <c r="A36" s="581">
        <v>30</v>
      </c>
      <c r="B36" s="581" t="s">
        <v>1549</v>
      </c>
      <c r="C36" s="581">
        <v>1.5563</v>
      </c>
      <c r="D36" s="581">
        <v>0.16209999999999999</v>
      </c>
      <c r="E36" s="581">
        <v>3.0044</v>
      </c>
      <c r="F36" s="581">
        <v>0.73350000000000004</v>
      </c>
      <c r="G36" s="581">
        <v>2.5569000000000002</v>
      </c>
      <c r="H36" s="581">
        <v>3.4897999999999998</v>
      </c>
    </row>
    <row r="37" spans="1:8">
      <c r="A37" s="581">
        <v>31</v>
      </c>
      <c r="B37" s="581" t="s">
        <v>1550</v>
      </c>
      <c r="C37" s="581">
        <v>1.4329000000000001</v>
      </c>
      <c r="D37" s="581">
        <v>0.21099999999999999</v>
      </c>
      <c r="E37" s="581">
        <v>3.2867000000000002</v>
      </c>
      <c r="F37" s="581">
        <v>0.63329999999999997</v>
      </c>
      <c r="G37" s="581">
        <v>1.6024</v>
      </c>
      <c r="H37" s="581">
        <v>2.3822000000000001</v>
      </c>
    </row>
    <row r="38" spans="1:8">
      <c r="A38" s="581">
        <v>32</v>
      </c>
      <c r="B38" s="581" t="s">
        <v>1551</v>
      </c>
      <c r="C38" s="581">
        <v>1.5598000000000001</v>
      </c>
      <c r="D38" s="581">
        <v>0.23319999999999999</v>
      </c>
      <c r="E38" s="581">
        <v>5.2610000000000001</v>
      </c>
      <c r="F38" s="581">
        <v>0.77329999999999999</v>
      </c>
      <c r="G38" s="581">
        <v>1.819</v>
      </c>
      <c r="H38" s="581">
        <v>1.9948999999999999</v>
      </c>
    </row>
    <row r="39" spans="1:8">
      <c r="A39" s="581">
        <v>33</v>
      </c>
      <c r="B39" s="581" t="s">
        <v>1552</v>
      </c>
      <c r="C39" s="581">
        <v>1.5126999999999999</v>
      </c>
      <c r="D39" s="581">
        <v>0.38179999999999997</v>
      </c>
      <c r="E39" s="581">
        <v>14.296200000000001</v>
      </c>
      <c r="F39" s="581">
        <v>0.85299999999999998</v>
      </c>
      <c r="G39" s="581">
        <v>1.3134999999999999</v>
      </c>
      <c r="H39" s="581">
        <v>1.1876</v>
      </c>
    </row>
    <row r="40" spans="1:8">
      <c r="A40" s="581">
        <v>34</v>
      </c>
      <c r="B40" s="581" t="s">
        <v>1553</v>
      </c>
      <c r="C40" s="581">
        <v>1</v>
      </c>
      <c r="D40" s="581">
        <v>0</v>
      </c>
      <c r="E40" s="581">
        <v>0</v>
      </c>
      <c r="F40" s="581">
        <v>0</v>
      </c>
      <c r="G40" s="581">
        <v>0</v>
      </c>
      <c r="H40" s="581">
        <v>0</v>
      </c>
    </row>
    <row r="41" spans="1:8">
      <c r="A41" s="581">
        <v>35</v>
      </c>
      <c r="B41" s="581" t="s">
        <v>1554</v>
      </c>
      <c r="C41" s="581">
        <v>1.4706999999999999</v>
      </c>
      <c r="D41" s="581">
        <v>0.32619999999999999</v>
      </c>
      <c r="E41" s="581">
        <v>7.1119000000000003</v>
      </c>
      <c r="F41" s="581">
        <v>0.96630000000000005</v>
      </c>
      <c r="G41" s="581">
        <v>1.3511</v>
      </c>
      <c r="H41" s="581">
        <v>1.4516</v>
      </c>
    </row>
    <row r="42" spans="1:8">
      <c r="A42" s="581">
        <v>36</v>
      </c>
      <c r="B42" s="581" t="s">
        <v>1555</v>
      </c>
      <c r="C42" s="581">
        <v>1.5891999999999999</v>
      </c>
      <c r="D42" s="581">
        <v>0.372</v>
      </c>
      <c r="E42" s="581">
        <v>8.8705999999999996</v>
      </c>
      <c r="F42" s="581">
        <v>1.0566</v>
      </c>
      <c r="G42" s="581">
        <v>1.3859999999999999</v>
      </c>
      <c r="H42" s="581">
        <v>1.4427000000000001</v>
      </c>
    </row>
    <row r="43" spans="1:8">
      <c r="A43" s="581">
        <v>37</v>
      </c>
      <c r="B43" s="581" t="s">
        <v>1556</v>
      </c>
      <c r="C43" s="581">
        <v>1.7417</v>
      </c>
      <c r="D43" s="581">
        <v>0.29720000000000002</v>
      </c>
      <c r="E43" s="581">
        <v>5.4714</v>
      </c>
      <c r="F43" s="581">
        <v>0.87129999999999996</v>
      </c>
      <c r="G43" s="581">
        <v>1.7778</v>
      </c>
      <c r="H43" s="581">
        <v>2.2292000000000001</v>
      </c>
    </row>
    <row r="44" spans="1:8">
      <c r="A44" s="581">
        <v>38</v>
      </c>
      <c r="B44" s="581" t="s">
        <v>1557</v>
      </c>
      <c r="C44" s="581">
        <v>1.4636</v>
      </c>
      <c r="D44" s="581">
        <v>0.25940000000000002</v>
      </c>
      <c r="E44" s="581">
        <v>7.2196999999999996</v>
      </c>
      <c r="F44" s="581">
        <v>0.87819999999999998</v>
      </c>
      <c r="G44" s="581">
        <v>1.4645999999999999</v>
      </c>
      <c r="H44" s="581">
        <v>1.4068000000000001</v>
      </c>
    </row>
    <row r="45" spans="1:8">
      <c r="A45" s="581">
        <v>39</v>
      </c>
      <c r="B45" s="581" t="s">
        <v>1558</v>
      </c>
      <c r="C45" s="581">
        <v>1.4424999999999999</v>
      </c>
      <c r="D45" s="581">
        <v>0.3054</v>
      </c>
      <c r="E45" s="581">
        <v>4.5750000000000002</v>
      </c>
      <c r="F45" s="581">
        <v>0.70909999999999995</v>
      </c>
      <c r="G45" s="581">
        <v>1.4197</v>
      </c>
      <c r="H45" s="581">
        <v>2.3851</v>
      </c>
    </row>
    <row r="46" spans="1:8">
      <c r="A46" s="581">
        <v>40</v>
      </c>
      <c r="B46" s="581" t="s">
        <v>1559</v>
      </c>
      <c r="C46" s="581">
        <v>1.5199</v>
      </c>
      <c r="D46" s="581">
        <v>0.15229999999999999</v>
      </c>
      <c r="E46" s="581">
        <v>2.7105000000000001</v>
      </c>
      <c r="F46" s="581">
        <v>0.85709999999999997</v>
      </c>
      <c r="G46" s="581">
        <v>2.16</v>
      </c>
      <c r="H46" s="581">
        <v>3.0417000000000001</v>
      </c>
    </row>
    <row r="47" spans="1:8">
      <c r="A47" s="581">
        <v>41</v>
      </c>
      <c r="B47" s="581" t="s">
        <v>1560</v>
      </c>
      <c r="C47" s="581">
        <v>1.6408</v>
      </c>
      <c r="D47" s="581">
        <v>0.20319999999999999</v>
      </c>
      <c r="E47" s="581">
        <v>3.8085</v>
      </c>
      <c r="F47" s="581">
        <v>0.85540000000000005</v>
      </c>
      <c r="G47" s="581">
        <v>2.2200000000000002</v>
      </c>
      <c r="H47" s="581">
        <v>3.468</v>
      </c>
    </row>
    <row r="48" spans="1:8">
      <c r="A48" s="581">
        <v>42</v>
      </c>
      <c r="B48" s="581" t="s">
        <v>1561</v>
      </c>
      <c r="C48" s="581">
        <v>1.7020999999999999</v>
      </c>
      <c r="D48" s="581">
        <v>0.21229999999999999</v>
      </c>
      <c r="E48" s="581">
        <v>4.1520000000000001</v>
      </c>
      <c r="F48" s="581">
        <v>0.90749999999999997</v>
      </c>
      <c r="G48" s="581">
        <v>2.2582</v>
      </c>
      <c r="H48" s="581">
        <v>2.8978999999999999</v>
      </c>
    </row>
    <row r="49" spans="1:8">
      <c r="A49" s="581">
        <v>43</v>
      </c>
      <c r="B49" s="581" t="s">
        <v>1562</v>
      </c>
      <c r="C49" s="581">
        <v>1.6534</v>
      </c>
      <c r="D49" s="581">
        <v>0.28110000000000002</v>
      </c>
      <c r="E49" s="581">
        <v>4.8849</v>
      </c>
      <c r="F49" s="581">
        <v>0.92</v>
      </c>
      <c r="G49" s="581">
        <v>1.6418999999999999</v>
      </c>
      <c r="H49" s="581">
        <v>2.0855000000000001</v>
      </c>
    </row>
    <row r="50" spans="1:8">
      <c r="A50" s="581">
        <v>44</v>
      </c>
      <c r="B50" s="581" t="s">
        <v>1563</v>
      </c>
      <c r="C50" s="581">
        <v>1.5755999999999999</v>
      </c>
      <c r="D50" s="581">
        <v>0.27800000000000002</v>
      </c>
      <c r="E50" s="581">
        <v>4.5220000000000002</v>
      </c>
      <c r="F50" s="581">
        <v>1.0249999999999999</v>
      </c>
      <c r="G50" s="581">
        <v>1.5726</v>
      </c>
      <c r="H50" s="581">
        <v>1.9339999999999999</v>
      </c>
    </row>
    <row r="51" spans="1:8">
      <c r="A51" s="581">
        <v>45</v>
      </c>
      <c r="B51" s="581" t="s">
        <v>1564</v>
      </c>
      <c r="C51" s="581">
        <v>1.4260999999999999</v>
      </c>
      <c r="D51" s="581">
        <v>0.13370000000000001</v>
      </c>
      <c r="E51" s="581">
        <v>2.0758000000000001</v>
      </c>
      <c r="F51" s="581">
        <v>0.68779999999999997</v>
      </c>
      <c r="G51" s="581">
        <v>1.9839</v>
      </c>
      <c r="H51" s="581">
        <v>3.0474999999999999</v>
      </c>
    </row>
    <row r="52" spans="1:8">
      <c r="A52" s="581">
        <v>46</v>
      </c>
      <c r="B52" s="581" t="s">
        <v>1565</v>
      </c>
      <c r="C52" s="581">
        <v>1.4489000000000001</v>
      </c>
      <c r="D52" s="581">
        <v>9.4700000000000006E-2</v>
      </c>
      <c r="E52" s="581">
        <v>4.2375999999999996</v>
      </c>
      <c r="F52" s="581">
        <v>0.95150000000000001</v>
      </c>
      <c r="G52" s="581">
        <v>3.0956000000000001</v>
      </c>
      <c r="H52" s="581">
        <v>1.5619000000000001</v>
      </c>
    </row>
    <row r="53" spans="1:8">
      <c r="A53" s="581">
        <v>47</v>
      </c>
      <c r="B53" s="581" t="s">
        <v>1566</v>
      </c>
      <c r="C53" s="581">
        <v>1.7124999999999999</v>
      </c>
      <c r="D53" s="581">
        <v>0.24779999999999999</v>
      </c>
      <c r="E53" s="581">
        <v>4.6045999999999996</v>
      </c>
      <c r="F53" s="581">
        <v>1.0728</v>
      </c>
      <c r="G53" s="581">
        <v>2.0226999999999999</v>
      </c>
      <c r="H53" s="581">
        <v>2.4832999999999998</v>
      </c>
    </row>
    <row r="54" spans="1:8">
      <c r="A54" s="581">
        <v>48</v>
      </c>
      <c r="B54" s="581" t="s">
        <v>1567</v>
      </c>
      <c r="C54" s="581">
        <v>1.5971</v>
      </c>
      <c r="D54" s="581">
        <v>0.37280000000000002</v>
      </c>
      <c r="E54" s="581">
        <v>6.5487000000000002</v>
      </c>
      <c r="F54" s="581">
        <v>1.0357000000000001</v>
      </c>
      <c r="G54" s="581">
        <v>1.3915</v>
      </c>
      <c r="H54" s="581">
        <v>1.7111000000000001</v>
      </c>
    </row>
    <row r="55" spans="1:8">
      <c r="A55" s="581">
        <v>49</v>
      </c>
      <c r="B55" s="581" t="s">
        <v>1568</v>
      </c>
      <c r="C55" s="581">
        <v>1.6128</v>
      </c>
      <c r="D55" s="581">
        <v>0.36759999999999998</v>
      </c>
      <c r="E55" s="581">
        <v>4.7355</v>
      </c>
      <c r="F55" s="581">
        <v>1.0154000000000001</v>
      </c>
      <c r="G55" s="581">
        <v>1.4114</v>
      </c>
      <c r="H55" s="581">
        <v>2.1964000000000001</v>
      </c>
    </row>
    <row r="56" spans="1:8">
      <c r="A56" s="581">
        <v>50</v>
      </c>
      <c r="B56" s="581" t="s">
        <v>1569</v>
      </c>
      <c r="C56" s="581">
        <v>1.6217999999999999</v>
      </c>
      <c r="D56" s="581">
        <v>0.37230000000000002</v>
      </c>
      <c r="E56" s="581">
        <v>12.728</v>
      </c>
      <c r="F56" s="581">
        <v>1.0153000000000001</v>
      </c>
      <c r="G56" s="581">
        <v>1.4330000000000001</v>
      </c>
      <c r="H56" s="581">
        <v>1.2996000000000001</v>
      </c>
    </row>
    <row r="57" spans="1:8">
      <c r="A57" s="581">
        <v>51</v>
      </c>
      <c r="B57" s="581" t="s">
        <v>1570</v>
      </c>
      <c r="C57" s="581">
        <v>1.7564</v>
      </c>
      <c r="D57" s="581">
        <v>0.40289999999999998</v>
      </c>
      <c r="E57" s="581">
        <v>7.8418999999999999</v>
      </c>
      <c r="F57" s="581">
        <v>0.96360000000000001</v>
      </c>
      <c r="G57" s="581">
        <v>1.5630999999999999</v>
      </c>
      <c r="H57" s="581">
        <v>1.776</v>
      </c>
    </row>
    <row r="58" spans="1:8">
      <c r="A58" s="581">
        <v>52</v>
      </c>
      <c r="B58" s="581" t="s">
        <v>1571</v>
      </c>
      <c r="C58" s="581">
        <v>1.6341000000000001</v>
      </c>
      <c r="D58" s="581">
        <v>0.4395</v>
      </c>
      <c r="E58" s="581">
        <v>14.4689</v>
      </c>
      <c r="F58" s="581">
        <v>1.0285</v>
      </c>
      <c r="G58" s="581">
        <v>1.3015000000000001</v>
      </c>
      <c r="H58" s="581">
        <v>1.2323</v>
      </c>
    </row>
    <row r="59" spans="1:8">
      <c r="A59" s="581">
        <v>53</v>
      </c>
      <c r="B59" s="581" t="s">
        <v>1572</v>
      </c>
      <c r="C59" s="581">
        <v>1.6486000000000001</v>
      </c>
      <c r="D59" s="581">
        <v>0.38840000000000002</v>
      </c>
      <c r="E59" s="581">
        <v>7.5873999999999997</v>
      </c>
      <c r="F59" s="581">
        <v>1.0267999999999999</v>
      </c>
      <c r="G59" s="581">
        <v>1.4266000000000001</v>
      </c>
      <c r="H59" s="581">
        <v>1.6374</v>
      </c>
    </row>
    <row r="60" spans="1:8">
      <c r="A60" s="581">
        <v>54</v>
      </c>
      <c r="B60" s="581" t="s">
        <v>1573</v>
      </c>
      <c r="C60" s="581">
        <v>1.6825000000000001</v>
      </c>
      <c r="D60" s="581">
        <v>0.3216</v>
      </c>
      <c r="E60" s="581">
        <v>6.6727999999999996</v>
      </c>
      <c r="F60" s="581">
        <v>0.94730000000000003</v>
      </c>
      <c r="G60" s="581">
        <v>1.5230999999999999</v>
      </c>
      <c r="H60" s="581">
        <v>1.7402</v>
      </c>
    </row>
    <row r="61" spans="1:8">
      <c r="A61" s="581">
        <v>55</v>
      </c>
      <c r="B61" s="581" t="s">
        <v>1574</v>
      </c>
      <c r="C61" s="581">
        <v>1.6676</v>
      </c>
      <c r="D61" s="581">
        <v>0.46510000000000001</v>
      </c>
      <c r="E61" s="581">
        <v>13.875400000000001</v>
      </c>
      <c r="F61" s="581">
        <v>1.0716000000000001</v>
      </c>
      <c r="G61" s="581">
        <v>1.3162</v>
      </c>
      <c r="H61" s="581">
        <v>1.2741</v>
      </c>
    </row>
    <row r="62" spans="1:8">
      <c r="A62" s="581">
        <v>56</v>
      </c>
      <c r="B62" s="581" t="s">
        <v>1575</v>
      </c>
      <c r="C62" s="581">
        <v>1.6778999999999999</v>
      </c>
      <c r="D62" s="581">
        <v>0.45960000000000001</v>
      </c>
      <c r="E62" s="581">
        <v>18.802199999999999</v>
      </c>
      <c r="F62" s="581">
        <v>1.0449999999999999</v>
      </c>
      <c r="G62" s="581">
        <v>1.33</v>
      </c>
      <c r="H62" s="581">
        <v>1.1926000000000001</v>
      </c>
    </row>
    <row r="63" spans="1:8">
      <c r="A63" s="581">
        <v>57</v>
      </c>
      <c r="B63" s="581" t="s">
        <v>1576</v>
      </c>
      <c r="C63" s="581">
        <v>1.7912999999999999</v>
      </c>
      <c r="D63" s="581">
        <v>0.48409999999999997</v>
      </c>
      <c r="E63" s="581">
        <v>16.1876</v>
      </c>
      <c r="F63" s="581">
        <v>1.0699000000000001</v>
      </c>
      <c r="G63" s="581">
        <v>1.4457</v>
      </c>
      <c r="H63" s="581">
        <v>1.3408</v>
      </c>
    </row>
    <row r="64" spans="1:8">
      <c r="A64" s="581">
        <v>58</v>
      </c>
      <c r="B64" s="581" t="s">
        <v>1577</v>
      </c>
      <c r="C64" s="581">
        <v>1.579</v>
      </c>
      <c r="D64" s="581">
        <v>0.34620000000000001</v>
      </c>
      <c r="E64" s="581">
        <v>15.567299999999999</v>
      </c>
      <c r="F64" s="581">
        <v>0.99970000000000003</v>
      </c>
      <c r="G64" s="581">
        <v>1.3825000000000001</v>
      </c>
      <c r="H64" s="581">
        <v>1.1834</v>
      </c>
    </row>
    <row r="65" spans="1:8">
      <c r="A65" s="581">
        <v>59</v>
      </c>
      <c r="B65" s="581" t="s">
        <v>1578</v>
      </c>
      <c r="C65" s="581">
        <v>1.6771</v>
      </c>
      <c r="D65" s="581">
        <v>0.31440000000000001</v>
      </c>
      <c r="E65" s="581">
        <v>8.1171000000000006</v>
      </c>
      <c r="F65" s="581">
        <v>0.95250000000000001</v>
      </c>
      <c r="G65" s="581">
        <v>1.6418999999999999</v>
      </c>
      <c r="H65" s="581">
        <v>1.5654999999999999</v>
      </c>
    </row>
    <row r="66" spans="1:8">
      <c r="A66" s="581">
        <v>60</v>
      </c>
      <c r="B66" s="581" t="s">
        <v>1579</v>
      </c>
      <c r="C66" s="581">
        <v>1.6338999999999999</v>
      </c>
      <c r="D66" s="581">
        <v>0.32890000000000003</v>
      </c>
      <c r="E66" s="581">
        <v>14.738200000000001</v>
      </c>
      <c r="F66" s="581">
        <v>0.90649999999999997</v>
      </c>
      <c r="G66" s="581">
        <v>1.4467000000000001</v>
      </c>
      <c r="H66" s="581">
        <v>1.2008000000000001</v>
      </c>
    </row>
    <row r="67" spans="1:8">
      <c r="A67" s="581">
        <v>61</v>
      </c>
      <c r="B67" s="581" t="s">
        <v>1580</v>
      </c>
      <c r="C67" s="581">
        <v>1.7281</v>
      </c>
      <c r="D67" s="581">
        <v>0.3826</v>
      </c>
      <c r="E67" s="581">
        <v>9.6206999999999994</v>
      </c>
      <c r="F67" s="581">
        <v>0.98960000000000004</v>
      </c>
      <c r="G67" s="581">
        <v>1.4853000000000001</v>
      </c>
      <c r="H67" s="581">
        <v>1.4726999999999999</v>
      </c>
    </row>
    <row r="68" spans="1:8">
      <c r="A68" s="581">
        <v>62</v>
      </c>
      <c r="B68" s="581" t="s">
        <v>1581</v>
      </c>
      <c r="C68" s="581">
        <v>0.93789999999999996</v>
      </c>
      <c r="D68" s="581">
        <v>0.161</v>
      </c>
      <c r="E68" s="581">
        <v>4.5491000000000001</v>
      </c>
      <c r="F68" s="581">
        <v>0.5665</v>
      </c>
      <c r="G68" s="581">
        <v>0</v>
      </c>
      <c r="H68" s="581">
        <v>0</v>
      </c>
    </row>
    <row r="70" spans="1:8">
      <c r="C70" s="581">
        <f>SUM(C6:C68)</f>
        <v>95.245099999999979</v>
      </c>
      <c r="D70" s="581">
        <f t="shared" ref="D70:H70" si="0">SUM(D6:D68)</f>
        <v>15.552700000000003</v>
      </c>
      <c r="E70" s="581">
        <f t="shared" si="0"/>
        <v>384.84499999999991</v>
      </c>
      <c r="F70" s="581">
        <f t="shared" si="0"/>
        <v>48.829699999999995</v>
      </c>
      <c r="G70" s="581">
        <f t="shared" si="0"/>
        <v>103.34380000000003</v>
      </c>
      <c r="H70" s="581">
        <f t="shared" si="0"/>
        <v>116.18560000000001</v>
      </c>
    </row>
    <row r="71" spans="1:8">
      <c r="C71" s="581">
        <f>C70-SUM(camden!B2:B63)</f>
        <v>3.6439000000000021</v>
      </c>
      <c r="D71" s="581">
        <f>D70-SUM(camden!C2:C63)</f>
        <v>0.10860000000000447</v>
      </c>
      <c r="E71" s="581">
        <f>E70-SUM(camden!D2:D63)</f>
        <v>-4.5149000000000683</v>
      </c>
      <c r="F71" s="581">
        <f>F70-SUM(camden!E2:E63)</f>
        <v>0.71299999999999386</v>
      </c>
      <c r="G71" s="581">
        <f>G70-SUM(camden!F2:F63)</f>
        <v>5.8184000000000111</v>
      </c>
      <c r="H71" s="581">
        <f>H70-SUM(camden!G2:G63)</f>
        <v>10.099900000000005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H71"/>
  <sheetViews>
    <sheetView topLeftCell="A69" workbookViewId="0">
      <selection activeCell="C71" sqref="C71"/>
    </sheetView>
  </sheetViews>
  <sheetFormatPr defaultColWidth="9.109375" defaultRowHeight="14.4"/>
  <cols>
    <col min="1" max="16384" width="9.109375" style="581"/>
  </cols>
  <sheetData>
    <row r="1" spans="1:8">
      <c r="A1" s="581" t="s">
        <v>1513</v>
      </c>
    </row>
    <row r="2" spans="1:8">
      <c r="A2" s="581" t="s">
        <v>1598</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1.54</v>
      </c>
      <c r="D7" s="581">
        <v>0.3931</v>
      </c>
      <c r="E7" s="581">
        <v>16.739799999999999</v>
      </c>
      <c r="F7" s="581">
        <v>0.71750000000000003</v>
      </c>
      <c r="G7" s="581">
        <v>1.3271999999999999</v>
      </c>
      <c r="H7" s="581">
        <v>1.1859999999999999</v>
      </c>
    </row>
    <row r="8" spans="1:8">
      <c r="A8" s="581">
        <v>2</v>
      </c>
      <c r="B8" s="581" t="s">
        <v>1521</v>
      </c>
      <c r="C8" s="581">
        <v>1.4879</v>
      </c>
      <c r="D8" s="581">
        <v>0.38850000000000001</v>
      </c>
      <c r="E8" s="581">
        <v>16.417100000000001</v>
      </c>
      <c r="F8" s="581">
        <v>0.95709999999999995</v>
      </c>
      <c r="G8" s="581">
        <v>1.2921</v>
      </c>
      <c r="H8" s="581">
        <v>1.1551</v>
      </c>
    </row>
    <row r="9" spans="1:8">
      <c r="A9" s="581">
        <v>3</v>
      </c>
      <c r="B9" s="581" t="s">
        <v>1522</v>
      </c>
      <c r="C9" s="581">
        <v>1</v>
      </c>
      <c r="D9" s="581">
        <v>0</v>
      </c>
      <c r="E9" s="581">
        <v>0</v>
      </c>
      <c r="F9" s="581">
        <v>0</v>
      </c>
      <c r="G9" s="581">
        <v>0</v>
      </c>
      <c r="H9" s="581">
        <v>0</v>
      </c>
    </row>
    <row r="10" spans="1:8">
      <c r="A10" s="581">
        <v>4</v>
      </c>
      <c r="B10" s="581" t="s">
        <v>1523</v>
      </c>
      <c r="C10" s="581">
        <v>1.5108999999999999</v>
      </c>
      <c r="D10" s="581">
        <v>0.14829999999999999</v>
      </c>
      <c r="E10" s="581">
        <v>2.7391999999999999</v>
      </c>
      <c r="F10" s="581">
        <v>0.81030000000000002</v>
      </c>
      <c r="G10" s="581">
        <v>2.9903</v>
      </c>
      <c r="H10" s="581">
        <v>3.6374</v>
      </c>
    </row>
    <row r="11" spans="1:8">
      <c r="A11" s="581">
        <v>5</v>
      </c>
      <c r="B11" s="581" t="s">
        <v>1524</v>
      </c>
      <c r="C11" s="581">
        <v>1</v>
      </c>
      <c r="D11" s="581">
        <v>0</v>
      </c>
      <c r="E11" s="581">
        <v>0</v>
      </c>
      <c r="F11" s="581">
        <v>0</v>
      </c>
      <c r="G11" s="581">
        <v>0</v>
      </c>
      <c r="H11" s="581">
        <v>0</v>
      </c>
    </row>
    <row r="12" spans="1:8">
      <c r="A12" s="581">
        <v>6</v>
      </c>
      <c r="B12" s="581" t="s">
        <v>1525</v>
      </c>
      <c r="C12" s="581">
        <v>1.1652</v>
      </c>
      <c r="D12" s="581">
        <v>0.1062</v>
      </c>
      <c r="E12" s="581">
        <v>1.4176</v>
      </c>
      <c r="F12" s="581">
        <v>0.67230000000000001</v>
      </c>
      <c r="G12" s="581">
        <v>1.4440999999999999</v>
      </c>
      <c r="H12" s="581">
        <v>2.0661999999999998</v>
      </c>
    </row>
    <row r="13" spans="1:8">
      <c r="A13" s="581">
        <v>7</v>
      </c>
      <c r="B13" s="581" t="s">
        <v>1526</v>
      </c>
      <c r="C13" s="581">
        <v>1.6926000000000001</v>
      </c>
      <c r="D13" s="581">
        <v>0.33529999999999999</v>
      </c>
      <c r="E13" s="581">
        <v>6.9805000000000001</v>
      </c>
      <c r="F13" s="581">
        <v>0.89839999999999998</v>
      </c>
      <c r="G13" s="581">
        <v>1.6007</v>
      </c>
      <c r="H13" s="581">
        <v>1.7454000000000001</v>
      </c>
    </row>
    <row r="14" spans="1:8">
      <c r="A14" s="581">
        <v>8</v>
      </c>
      <c r="B14" s="581" t="s">
        <v>1527</v>
      </c>
      <c r="C14" s="581">
        <v>1.5456000000000001</v>
      </c>
      <c r="D14" s="581">
        <v>0.1419</v>
      </c>
      <c r="E14" s="581">
        <v>3.1686000000000001</v>
      </c>
      <c r="F14" s="581">
        <v>0.57869999999999999</v>
      </c>
      <c r="G14" s="581">
        <v>2.9405999999999999</v>
      </c>
      <c r="H14" s="581">
        <v>2.5746000000000002</v>
      </c>
    </row>
    <row r="15" spans="1:8">
      <c r="A15" s="581">
        <v>9</v>
      </c>
      <c r="B15" s="581" t="s">
        <v>1528</v>
      </c>
      <c r="C15" s="581">
        <v>1.5985</v>
      </c>
      <c r="D15" s="581">
        <v>0.19350000000000001</v>
      </c>
      <c r="E15" s="581">
        <v>3.8927999999999998</v>
      </c>
      <c r="F15" s="581">
        <v>0.71379999999999999</v>
      </c>
      <c r="G15" s="581">
        <v>2.1486000000000001</v>
      </c>
      <c r="H15" s="581">
        <v>2.3149000000000002</v>
      </c>
    </row>
    <row r="16" spans="1:8">
      <c r="A16" s="581">
        <v>10</v>
      </c>
      <c r="B16" s="581" t="s">
        <v>1529</v>
      </c>
      <c r="C16" s="581">
        <v>1.5628</v>
      </c>
      <c r="D16" s="581">
        <v>0.2273</v>
      </c>
      <c r="E16" s="581">
        <v>4.2706999999999997</v>
      </c>
      <c r="F16" s="581">
        <v>0.55389999999999995</v>
      </c>
      <c r="G16" s="581">
        <v>1.8466</v>
      </c>
      <c r="H16" s="581">
        <v>2.1147</v>
      </c>
    </row>
    <row r="17" spans="1:8">
      <c r="A17" s="581">
        <v>11</v>
      </c>
      <c r="B17" s="581" t="s">
        <v>1530</v>
      </c>
      <c r="C17" s="581">
        <v>1.6395999999999999</v>
      </c>
      <c r="D17" s="581">
        <v>0.27850000000000003</v>
      </c>
      <c r="E17" s="581">
        <v>5.6787999999999998</v>
      </c>
      <c r="F17" s="581">
        <v>0.75490000000000002</v>
      </c>
      <c r="G17" s="581">
        <v>1.6854</v>
      </c>
      <c r="H17" s="581">
        <v>1.7982</v>
      </c>
    </row>
    <row r="18" spans="1:8">
      <c r="A18" s="581">
        <v>12</v>
      </c>
      <c r="B18" s="581" t="s">
        <v>1531</v>
      </c>
      <c r="C18" s="581">
        <v>1.65</v>
      </c>
      <c r="D18" s="581">
        <v>0.25440000000000002</v>
      </c>
      <c r="E18" s="581">
        <v>4.6435000000000004</v>
      </c>
      <c r="F18" s="581">
        <v>0.71489999999999998</v>
      </c>
      <c r="G18" s="581">
        <v>1.8202</v>
      </c>
      <c r="H18" s="581">
        <v>2.1076000000000001</v>
      </c>
    </row>
    <row r="19" spans="1:8">
      <c r="A19" s="581">
        <v>13</v>
      </c>
      <c r="B19" s="581" t="s">
        <v>1532</v>
      </c>
      <c r="C19" s="581">
        <v>1.5913999999999999</v>
      </c>
      <c r="D19" s="581">
        <v>0.32150000000000001</v>
      </c>
      <c r="E19" s="581">
        <v>5.0134999999999996</v>
      </c>
      <c r="F19" s="581">
        <v>0.84870000000000001</v>
      </c>
      <c r="G19" s="581">
        <v>1.5636000000000001</v>
      </c>
      <c r="H19" s="581">
        <v>1.9608000000000001</v>
      </c>
    </row>
    <row r="20" spans="1:8">
      <c r="A20" s="581">
        <v>14</v>
      </c>
      <c r="B20" s="581" t="s">
        <v>1533</v>
      </c>
      <c r="C20" s="581">
        <v>1.4750000000000001</v>
      </c>
      <c r="D20" s="581">
        <v>0.17199999999999999</v>
      </c>
      <c r="E20" s="581">
        <v>3.2782</v>
      </c>
      <c r="F20" s="581">
        <v>0.69279999999999997</v>
      </c>
      <c r="G20" s="581">
        <v>1.9518</v>
      </c>
      <c r="H20" s="581">
        <v>2.0914000000000001</v>
      </c>
    </row>
    <row r="21" spans="1:8">
      <c r="A21" s="581">
        <v>15</v>
      </c>
      <c r="B21" s="581" t="s">
        <v>1534</v>
      </c>
      <c r="C21" s="581">
        <v>1.5539000000000001</v>
      </c>
      <c r="D21" s="581">
        <v>0.18709999999999999</v>
      </c>
      <c r="E21" s="581">
        <v>3.4956</v>
      </c>
      <c r="F21" s="581">
        <v>0.51900000000000002</v>
      </c>
      <c r="G21" s="581">
        <v>2.1282999999999999</v>
      </c>
      <c r="H21" s="581">
        <v>2.371</v>
      </c>
    </row>
    <row r="22" spans="1:8">
      <c r="A22" s="581">
        <v>16</v>
      </c>
      <c r="B22" s="581" t="s">
        <v>1535</v>
      </c>
      <c r="C22" s="581">
        <v>1.6513</v>
      </c>
      <c r="D22" s="581">
        <v>0.19070000000000001</v>
      </c>
      <c r="E22" s="581">
        <v>3.8210000000000002</v>
      </c>
      <c r="F22" s="581">
        <v>0.70350000000000001</v>
      </c>
      <c r="G22" s="581">
        <v>2.6074000000000002</v>
      </c>
      <c r="H22" s="581">
        <v>2.7551000000000001</v>
      </c>
    </row>
    <row r="23" spans="1:8">
      <c r="A23" s="581">
        <v>17</v>
      </c>
      <c r="B23" s="581" t="s">
        <v>1536</v>
      </c>
      <c r="C23" s="581">
        <v>1.6046</v>
      </c>
      <c r="D23" s="581">
        <v>0.24510000000000001</v>
      </c>
      <c r="E23" s="581">
        <v>5.5468999999999999</v>
      </c>
      <c r="F23" s="581">
        <v>0.74029999999999996</v>
      </c>
      <c r="G23" s="581">
        <v>1.742</v>
      </c>
      <c r="H23" s="581">
        <v>1.7278</v>
      </c>
    </row>
    <row r="24" spans="1:8">
      <c r="A24" s="581">
        <v>18</v>
      </c>
      <c r="B24" s="581" t="s">
        <v>1537</v>
      </c>
      <c r="C24" s="581">
        <v>1.5859000000000001</v>
      </c>
      <c r="D24" s="581">
        <v>0.24840000000000001</v>
      </c>
      <c r="E24" s="581">
        <v>4.5528000000000004</v>
      </c>
      <c r="F24" s="581">
        <v>0.84650000000000003</v>
      </c>
      <c r="G24" s="581">
        <v>1.6898</v>
      </c>
      <c r="H24" s="581">
        <v>1.9579</v>
      </c>
    </row>
    <row r="25" spans="1:8">
      <c r="A25" s="581">
        <v>19</v>
      </c>
      <c r="B25" s="581" t="s">
        <v>1538</v>
      </c>
      <c r="C25" s="581">
        <v>1.5832999999999999</v>
      </c>
      <c r="D25" s="581">
        <v>0.1651</v>
      </c>
      <c r="E25" s="581">
        <v>3.7160000000000002</v>
      </c>
      <c r="F25" s="581">
        <v>0.56459999999999999</v>
      </c>
      <c r="G25" s="581">
        <v>2.6200999999999999</v>
      </c>
      <c r="H25" s="581">
        <v>2.7002999999999999</v>
      </c>
    </row>
    <row r="26" spans="1:8">
      <c r="A26" s="581">
        <v>20</v>
      </c>
      <c r="B26" s="581" t="s">
        <v>1539</v>
      </c>
      <c r="C26" s="581">
        <v>1.4348000000000001</v>
      </c>
      <c r="D26" s="581">
        <v>0.19939999999999999</v>
      </c>
      <c r="E26" s="581">
        <v>4.649</v>
      </c>
      <c r="F26" s="581">
        <v>0.53920000000000001</v>
      </c>
      <c r="G26" s="581">
        <v>1.6248</v>
      </c>
      <c r="H26" s="581">
        <v>1.5834999999999999</v>
      </c>
    </row>
    <row r="27" spans="1:8">
      <c r="A27" s="581">
        <v>21</v>
      </c>
      <c r="B27" s="581" t="s">
        <v>1540</v>
      </c>
      <c r="C27" s="581">
        <v>1.6222000000000001</v>
      </c>
      <c r="D27" s="581">
        <v>0.34189999999999998</v>
      </c>
      <c r="E27" s="581">
        <v>8.7598000000000003</v>
      </c>
      <c r="F27" s="581">
        <v>0.78</v>
      </c>
      <c r="G27" s="581">
        <v>1.5284</v>
      </c>
      <c r="H27" s="581">
        <v>1.4621999999999999</v>
      </c>
    </row>
    <row r="28" spans="1:8">
      <c r="A28" s="581">
        <v>22</v>
      </c>
      <c r="B28" s="581" t="s">
        <v>1541</v>
      </c>
      <c r="C28" s="581">
        <v>1.4827999999999999</v>
      </c>
      <c r="D28" s="581">
        <v>0.20280000000000001</v>
      </c>
      <c r="E28" s="581">
        <v>3.6593</v>
      </c>
      <c r="F28" s="581">
        <v>0.63080000000000003</v>
      </c>
      <c r="G28" s="581">
        <v>1.7004999999999999</v>
      </c>
      <c r="H28" s="581">
        <v>1.9492</v>
      </c>
    </row>
    <row r="29" spans="1:8">
      <c r="A29" s="581">
        <v>23</v>
      </c>
      <c r="B29" s="581" t="s">
        <v>1542</v>
      </c>
      <c r="C29" s="581">
        <v>1.6831</v>
      </c>
      <c r="D29" s="581">
        <v>0.23569999999999999</v>
      </c>
      <c r="E29" s="581">
        <v>4.9459999999999997</v>
      </c>
      <c r="F29" s="581">
        <v>0.75890000000000002</v>
      </c>
      <c r="G29" s="581">
        <v>2.0855000000000001</v>
      </c>
      <c r="H29" s="581">
        <v>2.2254999999999998</v>
      </c>
    </row>
    <row r="30" spans="1:8">
      <c r="A30" s="581">
        <v>24</v>
      </c>
      <c r="B30" s="581" t="s">
        <v>1543</v>
      </c>
      <c r="C30" s="581">
        <v>1.1146</v>
      </c>
      <c r="D30" s="581">
        <v>7.4399999999999994E-2</v>
      </c>
      <c r="E30" s="581">
        <v>1.0296000000000001</v>
      </c>
      <c r="F30" s="581">
        <v>0.27500000000000002</v>
      </c>
      <c r="G30" s="581">
        <v>1.3895</v>
      </c>
      <c r="H30" s="581">
        <v>1.8286</v>
      </c>
    </row>
    <row r="31" spans="1:8">
      <c r="A31" s="581">
        <v>25</v>
      </c>
      <c r="B31" s="581" t="s">
        <v>1544</v>
      </c>
      <c r="C31" s="581">
        <v>1.4790000000000001</v>
      </c>
      <c r="D31" s="581">
        <v>0.14899999999999999</v>
      </c>
      <c r="E31" s="581">
        <v>2.1684999999999999</v>
      </c>
      <c r="F31" s="581">
        <v>0.58609999999999995</v>
      </c>
      <c r="G31" s="581">
        <v>2.1328</v>
      </c>
      <c r="H31" s="581">
        <v>3.2841999999999998</v>
      </c>
    </row>
    <row r="32" spans="1:8">
      <c r="A32" s="581">
        <v>26</v>
      </c>
      <c r="B32" s="581" t="s">
        <v>1545</v>
      </c>
      <c r="C32" s="581">
        <v>1.6088</v>
      </c>
      <c r="D32" s="581">
        <v>0.1711</v>
      </c>
      <c r="E32" s="581">
        <v>3.3938000000000001</v>
      </c>
      <c r="F32" s="581">
        <v>0.63249999999999995</v>
      </c>
      <c r="G32" s="581">
        <v>2.1114999999999999</v>
      </c>
      <c r="H32" s="581">
        <v>2.1221000000000001</v>
      </c>
    </row>
    <row r="33" spans="1:8">
      <c r="A33" s="581">
        <v>27</v>
      </c>
      <c r="B33" s="581" t="s">
        <v>1546</v>
      </c>
      <c r="C33" s="581">
        <v>1.5450999999999999</v>
      </c>
      <c r="D33" s="581">
        <v>0.27889999999999998</v>
      </c>
      <c r="E33" s="581">
        <v>4.7824999999999998</v>
      </c>
      <c r="F33" s="581">
        <v>0.97960000000000003</v>
      </c>
      <c r="G33" s="581">
        <v>1.5949</v>
      </c>
      <c r="H33" s="581">
        <v>2.0528</v>
      </c>
    </row>
    <row r="34" spans="1:8">
      <c r="A34" s="581">
        <v>28</v>
      </c>
      <c r="B34" s="581" t="s">
        <v>1547</v>
      </c>
      <c r="C34" s="581">
        <v>1.5733999999999999</v>
      </c>
      <c r="D34" s="581">
        <v>0.32740000000000002</v>
      </c>
      <c r="E34" s="581">
        <v>10.5932</v>
      </c>
      <c r="F34" s="581">
        <v>1.0199</v>
      </c>
      <c r="G34" s="581">
        <v>1.4368000000000001</v>
      </c>
      <c r="H34" s="581">
        <v>1.3213999999999999</v>
      </c>
    </row>
    <row r="35" spans="1:8">
      <c r="A35" s="581">
        <v>29</v>
      </c>
      <c r="B35" s="581" t="s">
        <v>1548</v>
      </c>
      <c r="C35" s="581">
        <v>1.4861</v>
      </c>
      <c r="D35" s="581">
        <v>0.25259999999999999</v>
      </c>
      <c r="E35" s="581">
        <v>4.9913999999999996</v>
      </c>
      <c r="F35" s="581">
        <v>0.65439999999999998</v>
      </c>
      <c r="G35" s="581">
        <v>1.62</v>
      </c>
      <c r="H35" s="581">
        <v>1.8972</v>
      </c>
    </row>
    <row r="36" spans="1:8">
      <c r="A36" s="581">
        <v>30</v>
      </c>
      <c r="B36" s="581" t="s">
        <v>1549</v>
      </c>
      <c r="C36" s="581">
        <v>1.6202000000000001</v>
      </c>
      <c r="D36" s="581">
        <v>0.16220000000000001</v>
      </c>
      <c r="E36" s="581">
        <v>3.0720000000000001</v>
      </c>
      <c r="F36" s="581">
        <v>0.76649999999999996</v>
      </c>
      <c r="G36" s="581">
        <v>3.3092000000000001</v>
      </c>
      <c r="H36" s="581">
        <v>4.6150000000000002</v>
      </c>
    </row>
    <row r="37" spans="1:8">
      <c r="A37" s="581">
        <v>31</v>
      </c>
      <c r="B37" s="581" t="s">
        <v>1550</v>
      </c>
      <c r="C37" s="581">
        <v>1</v>
      </c>
      <c r="D37" s="581">
        <v>0</v>
      </c>
      <c r="E37" s="581">
        <v>0</v>
      </c>
      <c r="F37" s="581">
        <v>0</v>
      </c>
      <c r="G37" s="581">
        <v>0</v>
      </c>
      <c r="H37" s="581">
        <v>0</v>
      </c>
    </row>
    <row r="38" spans="1:8">
      <c r="A38" s="581">
        <v>32</v>
      </c>
      <c r="B38" s="581" t="s">
        <v>1551</v>
      </c>
      <c r="C38" s="581">
        <v>1.6015999999999999</v>
      </c>
      <c r="D38" s="581">
        <v>0.2898</v>
      </c>
      <c r="E38" s="581">
        <v>6.4789000000000003</v>
      </c>
      <c r="F38" s="581">
        <v>0.79279999999999995</v>
      </c>
      <c r="G38" s="581">
        <v>1.6787000000000001</v>
      </c>
      <c r="H38" s="581">
        <v>1.8243</v>
      </c>
    </row>
    <row r="39" spans="1:8">
      <c r="A39" s="581">
        <v>33</v>
      </c>
      <c r="B39" s="581" t="s">
        <v>1552</v>
      </c>
      <c r="C39" s="581">
        <v>1.6140000000000001</v>
      </c>
      <c r="D39" s="581">
        <v>0.47399999999999998</v>
      </c>
      <c r="E39" s="581">
        <v>17.7516</v>
      </c>
      <c r="F39" s="581">
        <v>0.91010000000000002</v>
      </c>
      <c r="G39" s="581">
        <v>1.3140000000000001</v>
      </c>
      <c r="H39" s="581">
        <v>1.1881999999999999</v>
      </c>
    </row>
    <row r="40" spans="1:8">
      <c r="A40" s="581">
        <v>34</v>
      </c>
      <c r="B40" s="581" t="s">
        <v>1553</v>
      </c>
      <c r="C40" s="581">
        <v>1.7999000000000001</v>
      </c>
      <c r="D40" s="581">
        <v>0.52569999999999995</v>
      </c>
      <c r="E40" s="581">
        <v>7.8201000000000001</v>
      </c>
      <c r="F40" s="581">
        <v>0.96360000000000001</v>
      </c>
      <c r="G40" s="581">
        <v>1.3988</v>
      </c>
      <c r="H40" s="581">
        <v>1.9083000000000001</v>
      </c>
    </row>
    <row r="41" spans="1:8">
      <c r="A41" s="581">
        <v>35</v>
      </c>
      <c r="B41" s="581" t="s">
        <v>1554</v>
      </c>
      <c r="C41" s="581">
        <v>1.5765</v>
      </c>
      <c r="D41" s="581">
        <v>0.45989999999999998</v>
      </c>
      <c r="E41" s="581">
        <v>10.0154</v>
      </c>
      <c r="F41" s="581">
        <v>1.0314000000000001</v>
      </c>
      <c r="G41" s="581">
        <v>1.3173999999999999</v>
      </c>
      <c r="H41" s="581">
        <v>1.4140999999999999</v>
      </c>
    </row>
    <row r="42" spans="1:8">
      <c r="A42" s="581">
        <v>36</v>
      </c>
      <c r="B42" s="581" t="s">
        <v>1555</v>
      </c>
      <c r="C42" s="581">
        <v>1.6325000000000001</v>
      </c>
      <c r="D42" s="581">
        <v>0.4103</v>
      </c>
      <c r="E42" s="581">
        <v>9.8344000000000005</v>
      </c>
      <c r="F42" s="581">
        <v>1.0843</v>
      </c>
      <c r="G42" s="581">
        <v>1.39</v>
      </c>
      <c r="H42" s="581">
        <v>1.4543999999999999</v>
      </c>
    </row>
    <row r="43" spans="1:8">
      <c r="A43" s="581">
        <v>37</v>
      </c>
      <c r="B43" s="581" t="s">
        <v>1556</v>
      </c>
      <c r="C43" s="581">
        <v>1.7988</v>
      </c>
      <c r="D43" s="581">
        <v>0.2893</v>
      </c>
      <c r="E43" s="581">
        <v>5.6277999999999997</v>
      </c>
      <c r="F43" s="581">
        <v>0.91269999999999996</v>
      </c>
      <c r="G43" s="581">
        <v>2.0499999999999998</v>
      </c>
      <c r="H43" s="581">
        <v>2.7160000000000002</v>
      </c>
    </row>
    <row r="44" spans="1:8">
      <c r="A44" s="581">
        <v>38</v>
      </c>
      <c r="B44" s="581" t="s">
        <v>1557</v>
      </c>
      <c r="C44" s="581">
        <v>1.5476000000000001</v>
      </c>
      <c r="D44" s="581">
        <v>0.27050000000000002</v>
      </c>
      <c r="E44" s="581">
        <v>7.5555000000000003</v>
      </c>
      <c r="F44" s="581">
        <v>0.93230000000000002</v>
      </c>
      <c r="G44" s="581">
        <v>1.5719000000000001</v>
      </c>
      <c r="H44" s="581">
        <v>1.5150999999999999</v>
      </c>
    </row>
    <row r="45" spans="1:8">
      <c r="A45" s="581">
        <v>39</v>
      </c>
      <c r="B45" s="581" t="s">
        <v>1558</v>
      </c>
      <c r="C45" s="581">
        <v>1.4671000000000001</v>
      </c>
      <c r="D45" s="581">
        <v>0.22389999999999999</v>
      </c>
      <c r="E45" s="581">
        <v>3.5495000000000001</v>
      </c>
      <c r="F45" s="581">
        <v>0.72619999999999996</v>
      </c>
      <c r="G45" s="581">
        <v>1.5969</v>
      </c>
      <c r="H45" s="581">
        <v>2.8391999999999999</v>
      </c>
    </row>
    <row r="46" spans="1:8">
      <c r="A46" s="581">
        <v>40</v>
      </c>
      <c r="B46" s="581" t="s">
        <v>1559</v>
      </c>
      <c r="C46" s="581">
        <v>1.5188999999999999</v>
      </c>
      <c r="D46" s="581">
        <v>0.1678</v>
      </c>
      <c r="E46" s="581">
        <v>3.0320999999999998</v>
      </c>
      <c r="F46" s="581">
        <v>0.85950000000000004</v>
      </c>
      <c r="G46" s="581">
        <v>2.1539999999999999</v>
      </c>
      <c r="H46" s="581">
        <v>3.0798000000000001</v>
      </c>
    </row>
    <row r="47" spans="1:8">
      <c r="A47" s="581">
        <v>41</v>
      </c>
      <c r="B47" s="581" t="s">
        <v>1560</v>
      </c>
      <c r="C47" s="581">
        <v>1.6587000000000001</v>
      </c>
      <c r="D47" s="581">
        <v>0.21110000000000001</v>
      </c>
      <c r="E47" s="581">
        <v>3.9803000000000002</v>
      </c>
      <c r="F47" s="581">
        <v>0.86829999999999996</v>
      </c>
      <c r="G47" s="581">
        <v>2.3081999999999998</v>
      </c>
      <c r="H47" s="581">
        <v>3.6272000000000002</v>
      </c>
    </row>
    <row r="48" spans="1:8">
      <c r="A48" s="581">
        <v>42</v>
      </c>
      <c r="B48" s="581" t="s">
        <v>1561</v>
      </c>
      <c r="C48" s="581">
        <v>1.7806</v>
      </c>
      <c r="D48" s="581">
        <v>0.2258</v>
      </c>
      <c r="E48" s="581">
        <v>4.4401999999999999</v>
      </c>
      <c r="F48" s="581">
        <v>0.95879999999999999</v>
      </c>
      <c r="G48" s="581">
        <v>2.4883999999999999</v>
      </c>
      <c r="H48" s="581">
        <v>3.2105999999999999</v>
      </c>
    </row>
    <row r="49" spans="1:8">
      <c r="A49" s="581">
        <v>43</v>
      </c>
      <c r="B49" s="581" t="s">
        <v>1562</v>
      </c>
      <c r="C49" s="581">
        <v>1.7948</v>
      </c>
      <c r="D49" s="581">
        <v>0.41599999999999998</v>
      </c>
      <c r="E49" s="581">
        <v>7.1093999999999999</v>
      </c>
      <c r="F49" s="581">
        <v>1.0071000000000001</v>
      </c>
      <c r="G49" s="581">
        <v>1.5111000000000001</v>
      </c>
      <c r="H49" s="581">
        <v>1.8871</v>
      </c>
    </row>
    <row r="50" spans="1:8">
      <c r="A50" s="581">
        <v>44</v>
      </c>
      <c r="B50" s="581" t="s">
        <v>1563</v>
      </c>
      <c r="C50" s="581">
        <v>1.5654999999999999</v>
      </c>
      <c r="D50" s="581">
        <v>0.24979999999999999</v>
      </c>
      <c r="E50" s="581">
        <v>4.1467999999999998</v>
      </c>
      <c r="F50" s="581">
        <v>1.0197000000000001</v>
      </c>
      <c r="G50" s="581">
        <v>1.6343000000000001</v>
      </c>
      <c r="H50" s="581">
        <v>2.0510999999999999</v>
      </c>
    </row>
    <row r="51" spans="1:8">
      <c r="A51" s="581">
        <v>45</v>
      </c>
      <c r="B51" s="581" t="s">
        <v>1564</v>
      </c>
      <c r="C51" s="581">
        <v>1.6446000000000001</v>
      </c>
      <c r="D51" s="581">
        <v>0.2303</v>
      </c>
      <c r="E51" s="581">
        <v>3.5488</v>
      </c>
      <c r="F51" s="581">
        <v>0.8145</v>
      </c>
      <c r="G51" s="581">
        <v>2.1246999999999998</v>
      </c>
      <c r="H51" s="581">
        <v>3.2393999999999998</v>
      </c>
    </row>
    <row r="52" spans="1:8">
      <c r="A52" s="581">
        <v>46</v>
      </c>
      <c r="B52" s="581" t="s">
        <v>1565</v>
      </c>
      <c r="C52" s="581">
        <v>1.4952000000000001</v>
      </c>
      <c r="D52" s="581">
        <v>0.1104</v>
      </c>
      <c r="E52" s="581">
        <v>5.2112999999999996</v>
      </c>
      <c r="F52" s="581">
        <v>0.98309999999999997</v>
      </c>
      <c r="G52" s="581">
        <v>2.8422000000000001</v>
      </c>
      <c r="H52" s="581">
        <v>1.5118</v>
      </c>
    </row>
    <row r="53" spans="1:8">
      <c r="A53" s="581">
        <v>47</v>
      </c>
      <c r="B53" s="581" t="s">
        <v>1566</v>
      </c>
      <c r="C53" s="581">
        <v>1.7126999999999999</v>
      </c>
      <c r="D53" s="581">
        <v>0.2424</v>
      </c>
      <c r="E53" s="581">
        <v>4.6073000000000004</v>
      </c>
      <c r="F53" s="581">
        <v>1.0743</v>
      </c>
      <c r="G53" s="581">
        <v>2.1779000000000002</v>
      </c>
      <c r="H53" s="581">
        <v>2.7353999999999998</v>
      </c>
    </row>
    <row r="54" spans="1:8">
      <c r="A54" s="581">
        <v>48</v>
      </c>
      <c r="B54" s="581" t="s">
        <v>1567</v>
      </c>
      <c r="C54" s="581">
        <v>1.6343000000000001</v>
      </c>
      <c r="D54" s="581">
        <v>0.40429999999999999</v>
      </c>
      <c r="E54" s="581">
        <v>7.1341000000000001</v>
      </c>
      <c r="F54" s="581">
        <v>1.0609</v>
      </c>
      <c r="G54" s="581">
        <v>1.4077</v>
      </c>
      <c r="H54" s="581">
        <v>1.7392000000000001</v>
      </c>
    </row>
    <row r="55" spans="1:8">
      <c r="A55" s="581">
        <v>49</v>
      </c>
      <c r="B55" s="581" t="s">
        <v>1568</v>
      </c>
      <c r="C55" s="581">
        <v>1.7176</v>
      </c>
      <c r="D55" s="581">
        <v>0.48070000000000002</v>
      </c>
      <c r="E55" s="581">
        <v>6.1018999999999997</v>
      </c>
      <c r="F55" s="581">
        <v>1.0809</v>
      </c>
      <c r="G55" s="581">
        <v>1.3741000000000001</v>
      </c>
      <c r="H55" s="581">
        <v>2.1072000000000002</v>
      </c>
    </row>
    <row r="56" spans="1:8">
      <c r="A56" s="581">
        <v>50</v>
      </c>
      <c r="B56" s="581" t="s">
        <v>1569</v>
      </c>
      <c r="C56" s="581">
        <v>1.6155999999999999</v>
      </c>
      <c r="D56" s="581">
        <v>0.3604</v>
      </c>
      <c r="E56" s="581">
        <v>12.218</v>
      </c>
      <c r="F56" s="581">
        <v>1.0123</v>
      </c>
      <c r="G56" s="581">
        <v>1.4709000000000001</v>
      </c>
      <c r="H56" s="581">
        <v>1.3229</v>
      </c>
    </row>
    <row r="57" spans="1:8">
      <c r="A57" s="581">
        <v>51</v>
      </c>
      <c r="B57" s="581" t="s">
        <v>1570</v>
      </c>
      <c r="C57" s="581">
        <v>1.7235</v>
      </c>
      <c r="D57" s="581">
        <v>0.39879999999999999</v>
      </c>
      <c r="E57" s="581">
        <v>7.7709999999999999</v>
      </c>
      <c r="F57" s="581">
        <v>0.94769999999999999</v>
      </c>
      <c r="G57" s="581">
        <v>1.5469999999999999</v>
      </c>
      <c r="H57" s="581">
        <v>1.7599</v>
      </c>
    </row>
    <row r="58" spans="1:8">
      <c r="A58" s="581">
        <v>52</v>
      </c>
      <c r="B58" s="581" t="s">
        <v>1571</v>
      </c>
      <c r="C58" s="581">
        <v>1.6735</v>
      </c>
      <c r="D58" s="581">
        <v>0.51949999999999996</v>
      </c>
      <c r="E58" s="581">
        <v>17.208400000000001</v>
      </c>
      <c r="F58" s="581">
        <v>1.0586</v>
      </c>
      <c r="G58" s="581">
        <v>1.2850999999999999</v>
      </c>
      <c r="H58" s="581">
        <v>1.2242999999999999</v>
      </c>
    </row>
    <row r="59" spans="1:8">
      <c r="A59" s="581">
        <v>53</v>
      </c>
      <c r="B59" s="581" t="s">
        <v>1572</v>
      </c>
      <c r="C59" s="581">
        <v>1.6918</v>
      </c>
      <c r="D59" s="581">
        <v>0.44209999999999999</v>
      </c>
      <c r="E59" s="581">
        <v>8.6318999999999999</v>
      </c>
      <c r="F59" s="581">
        <v>1.0562</v>
      </c>
      <c r="G59" s="581">
        <v>1.4049</v>
      </c>
      <c r="H59" s="581">
        <v>1.6113999999999999</v>
      </c>
    </row>
    <row r="60" spans="1:8">
      <c r="A60" s="581">
        <v>54</v>
      </c>
      <c r="B60" s="581" t="s">
        <v>1573</v>
      </c>
      <c r="C60" s="581">
        <v>1.8061</v>
      </c>
      <c r="D60" s="581">
        <v>0.42830000000000001</v>
      </c>
      <c r="E60" s="581">
        <v>8.9092000000000002</v>
      </c>
      <c r="F60" s="581">
        <v>1.0291999999999999</v>
      </c>
      <c r="G60" s="581">
        <v>1.4661999999999999</v>
      </c>
      <c r="H60" s="581">
        <v>1.6795</v>
      </c>
    </row>
    <row r="61" spans="1:8">
      <c r="A61" s="581">
        <v>55</v>
      </c>
      <c r="B61" s="581" t="s">
        <v>1574</v>
      </c>
      <c r="C61" s="581">
        <v>1.6839999999999999</v>
      </c>
      <c r="D61" s="581">
        <v>0.47210000000000002</v>
      </c>
      <c r="E61" s="581">
        <v>14.069800000000001</v>
      </c>
      <c r="F61" s="581">
        <v>1.0898000000000001</v>
      </c>
      <c r="G61" s="581">
        <v>1.3403</v>
      </c>
      <c r="H61" s="581">
        <v>1.2961</v>
      </c>
    </row>
    <row r="62" spans="1:8">
      <c r="A62" s="581">
        <v>56</v>
      </c>
      <c r="B62" s="581" t="s">
        <v>1575</v>
      </c>
      <c r="C62" s="581">
        <v>1.7386999999999999</v>
      </c>
      <c r="D62" s="581">
        <v>0.48349999999999999</v>
      </c>
      <c r="E62" s="581">
        <v>19.6432</v>
      </c>
      <c r="F62" s="581">
        <v>1.0851999999999999</v>
      </c>
      <c r="G62" s="581">
        <v>1.3619000000000001</v>
      </c>
      <c r="H62" s="581">
        <v>1.2125999999999999</v>
      </c>
    </row>
    <row r="63" spans="1:8">
      <c r="A63" s="581">
        <v>57</v>
      </c>
      <c r="B63" s="581" t="s">
        <v>1576</v>
      </c>
      <c r="C63" s="581">
        <v>1.6414</v>
      </c>
      <c r="D63" s="581">
        <v>0.36940000000000001</v>
      </c>
      <c r="E63" s="581">
        <v>12.241400000000001</v>
      </c>
      <c r="F63" s="581">
        <v>0.99580000000000002</v>
      </c>
      <c r="G63" s="581">
        <v>1.4350000000000001</v>
      </c>
      <c r="H63" s="581">
        <v>1.3188</v>
      </c>
    </row>
    <row r="64" spans="1:8">
      <c r="A64" s="581">
        <v>58</v>
      </c>
      <c r="B64" s="581" t="s">
        <v>1577</v>
      </c>
      <c r="C64" s="581">
        <v>1.6014999999999999</v>
      </c>
      <c r="D64" s="581">
        <v>0.34379999999999999</v>
      </c>
      <c r="E64" s="581">
        <v>15.3056</v>
      </c>
      <c r="F64" s="581">
        <v>1.0161</v>
      </c>
      <c r="G64" s="581">
        <v>1.4225000000000001</v>
      </c>
      <c r="H64" s="581">
        <v>1.2055</v>
      </c>
    </row>
    <row r="65" spans="1:8">
      <c r="A65" s="581">
        <v>59</v>
      </c>
      <c r="B65" s="581" t="s">
        <v>1578</v>
      </c>
      <c r="C65" s="581">
        <v>1.6556</v>
      </c>
      <c r="D65" s="581">
        <v>0.29299999999999998</v>
      </c>
      <c r="E65" s="581">
        <v>7.5247999999999999</v>
      </c>
      <c r="F65" s="581">
        <v>0.94259999999999999</v>
      </c>
      <c r="G65" s="581">
        <v>1.7488999999999999</v>
      </c>
      <c r="H65" s="581">
        <v>1.6588000000000001</v>
      </c>
    </row>
    <row r="66" spans="1:8">
      <c r="A66" s="581">
        <v>60</v>
      </c>
      <c r="B66" s="581" t="s">
        <v>1579</v>
      </c>
      <c r="C66" s="581">
        <v>1.6109</v>
      </c>
      <c r="D66" s="581">
        <v>0.3135</v>
      </c>
      <c r="E66" s="581">
        <v>13.812099999999999</v>
      </c>
      <c r="F66" s="581">
        <v>0.90110000000000001</v>
      </c>
      <c r="G66" s="581">
        <v>1.5063</v>
      </c>
      <c r="H66" s="581">
        <v>1.2293000000000001</v>
      </c>
    </row>
    <row r="67" spans="1:8">
      <c r="A67" s="581">
        <v>61</v>
      </c>
      <c r="B67" s="581" t="s">
        <v>1580</v>
      </c>
      <c r="C67" s="581">
        <v>1.7786999999999999</v>
      </c>
      <c r="D67" s="581">
        <v>0.40110000000000001</v>
      </c>
      <c r="E67" s="581">
        <v>10.093500000000001</v>
      </c>
      <c r="F67" s="581">
        <v>1.0217000000000001</v>
      </c>
      <c r="G67" s="581">
        <v>1.5306999999999999</v>
      </c>
      <c r="H67" s="581">
        <v>1.5188999999999999</v>
      </c>
    </row>
    <row r="68" spans="1:8">
      <c r="A68" s="581">
        <v>62</v>
      </c>
      <c r="B68" s="581" t="s">
        <v>1581</v>
      </c>
      <c r="C68" s="581">
        <v>0.94850000000000001</v>
      </c>
      <c r="D68" s="581">
        <v>0.1726</v>
      </c>
      <c r="E68" s="581">
        <v>4.8590999999999998</v>
      </c>
      <c r="F68" s="581">
        <v>0.57720000000000005</v>
      </c>
      <c r="G68" s="581">
        <v>0</v>
      </c>
      <c r="H68" s="581">
        <v>0</v>
      </c>
    </row>
    <row r="70" spans="1:8">
      <c r="C70" s="581">
        <f>SUM(C6:C68)</f>
        <v>96.819300000000013</v>
      </c>
      <c r="D70" s="581">
        <f t="shared" ref="D70:H70" si="0">SUM(D6:D68)</f>
        <v>17.072399999999998</v>
      </c>
      <c r="E70" s="581">
        <f t="shared" si="0"/>
        <v>417.65109999999999</v>
      </c>
      <c r="F70" s="581">
        <f t="shared" si="0"/>
        <v>49.7241</v>
      </c>
      <c r="G70" s="581">
        <f t="shared" si="0"/>
        <v>103.7927</v>
      </c>
      <c r="H70" s="581">
        <f t="shared" si="0"/>
        <v>117.69250000000002</v>
      </c>
    </row>
    <row r="71" spans="1:8">
      <c r="C71" s="581">
        <f>C70-SUM(burlington!B2:B63)</f>
        <v>0.53350000000003206</v>
      </c>
      <c r="D71" s="581">
        <f>D70-SUM(burlington!C2:C63)</f>
        <v>-0.83770000000000522</v>
      </c>
      <c r="E71" s="581">
        <f>E70-SUM(burlington!D2:D63)</f>
        <v>-36.112500000000011</v>
      </c>
      <c r="F71" s="581">
        <f>F70-SUM(burlington!E2:E63)</f>
        <v>-1.3419000000000239</v>
      </c>
      <c r="G71" s="581">
        <f>G70-SUM(burlington!F2:F63)</f>
        <v>3.6745999999999981</v>
      </c>
      <c r="H71" s="581">
        <f>H70-SUM(burlington!G2:G63)</f>
        <v>7.9342000000000041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H71"/>
  <sheetViews>
    <sheetView topLeftCell="A69" workbookViewId="0">
      <selection activeCell="D69" sqref="D69"/>
    </sheetView>
  </sheetViews>
  <sheetFormatPr defaultColWidth="9.109375" defaultRowHeight="14.4"/>
  <cols>
    <col min="1" max="16384" width="9.109375" style="581"/>
  </cols>
  <sheetData>
    <row r="1" spans="1:8">
      <c r="A1" s="581" t="s">
        <v>1513</v>
      </c>
    </row>
    <row r="2" spans="1:8">
      <c r="A2" s="581" t="s">
        <v>1582</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1.4034</v>
      </c>
      <c r="D7" s="581">
        <v>0.31130000000000002</v>
      </c>
      <c r="E7" s="581">
        <v>13.3407</v>
      </c>
      <c r="F7" s="581">
        <v>0.63770000000000004</v>
      </c>
      <c r="G7" s="581">
        <v>1.2766999999999999</v>
      </c>
      <c r="H7" s="581">
        <v>1.1477999999999999</v>
      </c>
    </row>
    <row r="8" spans="1:8">
      <c r="A8" s="581">
        <v>2</v>
      </c>
      <c r="B8" s="581" t="s">
        <v>1521</v>
      </c>
      <c r="C8" s="581">
        <v>1.7185999999999999</v>
      </c>
      <c r="D8" s="581">
        <v>0.74539999999999995</v>
      </c>
      <c r="E8" s="581">
        <v>32.623699999999999</v>
      </c>
      <c r="F8" s="581">
        <v>1.0954999999999999</v>
      </c>
      <c r="G8" s="581">
        <v>1.2003999999999999</v>
      </c>
      <c r="H8" s="581">
        <v>1.1113</v>
      </c>
    </row>
    <row r="9" spans="1:8">
      <c r="A9" s="581">
        <v>3</v>
      </c>
      <c r="B9" s="581" t="s">
        <v>1522</v>
      </c>
      <c r="C9" s="581">
        <v>1</v>
      </c>
      <c r="D9" s="581">
        <v>0</v>
      </c>
      <c r="E9" s="581">
        <v>0</v>
      </c>
      <c r="F9" s="581">
        <v>0</v>
      </c>
      <c r="G9" s="581">
        <v>0</v>
      </c>
      <c r="H9" s="581">
        <v>0</v>
      </c>
    </row>
    <row r="10" spans="1:8">
      <c r="A10" s="581">
        <v>4</v>
      </c>
      <c r="B10" s="581" t="s">
        <v>1523</v>
      </c>
      <c r="C10" s="581">
        <v>1.4781</v>
      </c>
      <c r="D10" s="581">
        <v>0.2079</v>
      </c>
      <c r="E10" s="581">
        <v>3.6404999999999998</v>
      </c>
      <c r="F10" s="581">
        <v>0.79059999999999997</v>
      </c>
      <c r="G10" s="581">
        <v>1.6053999999999999</v>
      </c>
      <c r="H10" s="581">
        <v>1.8514999999999999</v>
      </c>
    </row>
    <row r="11" spans="1:8">
      <c r="A11" s="581">
        <v>5</v>
      </c>
      <c r="B11" s="581" t="s">
        <v>1524</v>
      </c>
      <c r="C11" s="581">
        <v>1.8673</v>
      </c>
      <c r="D11" s="581">
        <v>0.3785</v>
      </c>
      <c r="E11" s="581">
        <v>8.0349000000000004</v>
      </c>
      <c r="F11" s="581">
        <v>0.83430000000000004</v>
      </c>
      <c r="G11" s="581">
        <v>1.6575</v>
      </c>
      <c r="H11" s="581">
        <v>1.6792</v>
      </c>
    </row>
    <row r="12" spans="1:8">
      <c r="A12" s="581">
        <v>6</v>
      </c>
      <c r="B12" s="581" t="s">
        <v>1525</v>
      </c>
      <c r="C12" s="581">
        <v>1.2217</v>
      </c>
      <c r="D12" s="581">
        <v>0.13139999999999999</v>
      </c>
      <c r="E12" s="581">
        <v>1.7822</v>
      </c>
      <c r="F12" s="581">
        <v>0.70709999999999995</v>
      </c>
      <c r="G12" s="581">
        <v>1.4327000000000001</v>
      </c>
      <c r="H12" s="581">
        <v>2.0825</v>
      </c>
    </row>
    <row r="13" spans="1:8">
      <c r="A13" s="581">
        <v>7</v>
      </c>
      <c r="B13" s="581" t="s">
        <v>1526</v>
      </c>
      <c r="C13" s="581">
        <v>1.6335</v>
      </c>
      <c r="D13" s="581">
        <v>0.32140000000000002</v>
      </c>
      <c r="E13" s="581">
        <v>6.6707000000000001</v>
      </c>
      <c r="F13" s="581">
        <v>0.86760000000000004</v>
      </c>
      <c r="G13" s="581">
        <v>1.5006999999999999</v>
      </c>
      <c r="H13" s="581">
        <v>1.6315</v>
      </c>
    </row>
    <row r="14" spans="1:8">
      <c r="A14" s="581">
        <v>8</v>
      </c>
      <c r="B14" s="581" t="s">
        <v>1527</v>
      </c>
      <c r="C14" s="581">
        <v>1.6258999999999999</v>
      </c>
      <c r="D14" s="581">
        <v>0.1371</v>
      </c>
      <c r="E14" s="581">
        <v>3.1774</v>
      </c>
      <c r="F14" s="581">
        <v>0.6401</v>
      </c>
      <c r="G14" s="581">
        <v>3.4662999999999999</v>
      </c>
      <c r="H14" s="581">
        <v>3.1513</v>
      </c>
    </row>
    <row r="15" spans="1:8">
      <c r="A15" s="581">
        <v>9</v>
      </c>
      <c r="B15" s="581" t="s">
        <v>1528</v>
      </c>
      <c r="C15" s="581">
        <v>1.5923</v>
      </c>
      <c r="D15" s="581">
        <v>0.17560000000000001</v>
      </c>
      <c r="E15" s="581">
        <v>3.5329999999999999</v>
      </c>
      <c r="F15" s="581">
        <v>0.70960000000000001</v>
      </c>
      <c r="G15" s="581">
        <v>2.1042000000000001</v>
      </c>
      <c r="H15" s="581">
        <v>2.2673999999999999</v>
      </c>
    </row>
    <row r="16" spans="1:8">
      <c r="A16" s="581">
        <v>10</v>
      </c>
      <c r="B16" s="581" t="s">
        <v>1529</v>
      </c>
      <c r="C16" s="581">
        <v>1.4565999999999999</v>
      </c>
      <c r="D16" s="581">
        <v>0.1547</v>
      </c>
      <c r="E16" s="581">
        <v>2.9032</v>
      </c>
      <c r="F16" s="581">
        <v>0.49070000000000003</v>
      </c>
      <c r="G16" s="581">
        <v>1.9001999999999999</v>
      </c>
      <c r="H16" s="581">
        <v>2.1732</v>
      </c>
    </row>
    <row r="17" spans="1:8">
      <c r="A17" s="581">
        <v>11</v>
      </c>
      <c r="B17" s="581" t="s">
        <v>1530</v>
      </c>
      <c r="C17" s="581">
        <v>1.5369999999999999</v>
      </c>
      <c r="D17" s="581">
        <v>0.20519999999999999</v>
      </c>
      <c r="E17" s="581">
        <v>4.1772999999999998</v>
      </c>
      <c r="F17" s="581">
        <v>0.70440000000000003</v>
      </c>
      <c r="G17" s="581">
        <v>1.724</v>
      </c>
      <c r="H17" s="581">
        <v>1.8361000000000001</v>
      </c>
    </row>
    <row r="18" spans="1:8">
      <c r="A18" s="581">
        <v>12</v>
      </c>
      <c r="B18" s="581" t="s">
        <v>1531</v>
      </c>
      <c r="C18" s="581">
        <v>1.6017999999999999</v>
      </c>
      <c r="D18" s="581">
        <v>0.19639999999999999</v>
      </c>
      <c r="E18" s="581">
        <v>3.5748000000000002</v>
      </c>
      <c r="F18" s="581">
        <v>0.69089999999999996</v>
      </c>
      <c r="G18" s="581">
        <v>1.9361999999999999</v>
      </c>
      <c r="H18" s="581">
        <v>2.2357</v>
      </c>
    </row>
    <row r="19" spans="1:8">
      <c r="A19" s="581">
        <v>13</v>
      </c>
      <c r="B19" s="581" t="s">
        <v>1532</v>
      </c>
      <c r="C19" s="581">
        <v>1.6878</v>
      </c>
      <c r="D19" s="581">
        <v>0.24709999999999999</v>
      </c>
      <c r="E19" s="581">
        <v>3.9752999999999998</v>
      </c>
      <c r="F19" s="581">
        <v>0.89780000000000004</v>
      </c>
      <c r="G19" s="581">
        <v>1.8585</v>
      </c>
      <c r="H19" s="581">
        <v>2.4045999999999998</v>
      </c>
    </row>
    <row r="20" spans="1:8">
      <c r="A20" s="581">
        <v>14</v>
      </c>
      <c r="B20" s="581" t="s">
        <v>1533</v>
      </c>
      <c r="C20" s="581">
        <v>1.4973000000000001</v>
      </c>
      <c r="D20" s="581">
        <v>0.18029999999999999</v>
      </c>
      <c r="E20" s="581">
        <v>3.4607000000000001</v>
      </c>
      <c r="F20" s="581">
        <v>0.70720000000000005</v>
      </c>
      <c r="G20" s="581">
        <v>1.7726</v>
      </c>
      <c r="H20" s="581">
        <v>1.9120999999999999</v>
      </c>
    </row>
    <row r="21" spans="1:8">
      <c r="A21" s="581">
        <v>15</v>
      </c>
      <c r="B21" s="581" t="s">
        <v>1534</v>
      </c>
      <c r="C21" s="581">
        <v>1.5384</v>
      </c>
      <c r="D21" s="581">
        <v>0.1837</v>
      </c>
      <c r="E21" s="581">
        <v>3.4379</v>
      </c>
      <c r="F21" s="581">
        <v>0.51849999999999996</v>
      </c>
      <c r="G21" s="581">
        <v>1.8371999999999999</v>
      </c>
      <c r="H21" s="581">
        <v>2.0497000000000001</v>
      </c>
    </row>
    <row r="22" spans="1:8">
      <c r="A22" s="581">
        <v>16</v>
      </c>
      <c r="B22" s="581" t="s">
        <v>1535</v>
      </c>
      <c r="C22" s="581">
        <v>1.6315999999999999</v>
      </c>
      <c r="D22" s="581">
        <v>0.19359999999999999</v>
      </c>
      <c r="E22" s="581">
        <v>3.8100999999999998</v>
      </c>
      <c r="F22" s="581">
        <v>0.7087</v>
      </c>
      <c r="G22" s="581">
        <v>2.1682999999999999</v>
      </c>
      <c r="H22" s="581">
        <v>2.2502</v>
      </c>
    </row>
    <row r="23" spans="1:8">
      <c r="A23" s="581">
        <v>17</v>
      </c>
      <c r="B23" s="581" t="s">
        <v>1536</v>
      </c>
      <c r="C23" s="581">
        <v>1.6615</v>
      </c>
      <c r="D23" s="581">
        <v>0.23619999999999999</v>
      </c>
      <c r="E23" s="581">
        <v>5.3540999999999999</v>
      </c>
      <c r="F23" s="581">
        <v>0.76400000000000001</v>
      </c>
      <c r="G23" s="581">
        <v>1.7482</v>
      </c>
      <c r="H23" s="581">
        <v>1.7365999999999999</v>
      </c>
    </row>
    <row r="24" spans="1:8">
      <c r="A24" s="581">
        <v>18</v>
      </c>
      <c r="B24" s="581" t="s">
        <v>1537</v>
      </c>
      <c r="C24" s="581">
        <v>1.5338000000000001</v>
      </c>
      <c r="D24" s="581">
        <v>0.17169999999999999</v>
      </c>
      <c r="E24" s="581">
        <v>3.2029999999999998</v>
      </c>
      <c r="F24" s="581">
        <v>0.81779999999999997</v>
      </c>
      <c r="G24" s="581">
        <v>1.9472</v>
      </c>
      <c r="H24" s="581">
        <v>2.2968999999999999</v>
      </c>
    </row>
    <row r="25" spans="1:8">
      <c r="A25" s="581">
        <v>19</v>
      </c>
      <c r="B25" s="581" t="s">
        <v>1538</v>
      </c>
      <c r="C25" s="581">
        <v>1.6294999999999999</v>
      </c>
      <c r="D25" s="581">
        <v>0.14349999999999999</v>
      </c>
      <c r="E25" s="581">
        <v>3.0230000000000001</v>
      </c>
      <c r="F25" s="581">
        <v>0.57640000000000002</v>
      </c>
      <c r="G25" s="581">
        <v>2.5590999999999999</v>
      </c>
      <c r="H25" s="581">
        <v>2.4683000000000002</v>
      </c>
    </row>
    <row r="26" spans="1:8">
      <c r="A26" s="581">
        <v>20</v>
      </c>
      <c r="B26" s="581" t="s">
        <v>1539</v>
      </c>
      <c r="C26" s="581">
        <v>1.5939000000000001</v>
      </c>
      <c r="D26" s="581">
        <v>0.23100000000000001</v>
      </c>
      <c r="E26" s="581">
        <v>5.3887</v>
      </c>
      <c r="F26" s="581">
        <v>0.61229999999999996</v>
      </c>
      <c r="G26" s="581">
        <v>1.6733</v>
      </c>
      <c r="H26" s="581">
        <v>1.6314</v>
      </c>
    </row>
    <row r="27" spans="1:8">
      <c r="A27" s="581">
        <v>21</v>
      </c>
      <c r="B27" s="581" t="s">
        <v>1540</v>
      </c>
      <c r="C27" s="581">
        <v>1.8138000000000001</v>
      </c>
      <c r="D27" s="581">
        <v>0.23810000000000001</v>
      </c>
      <c r="E27" s="581">
        <v>5.8231000000000002</v>
      </c>
      <c r="F27" s="581">
        <v>0.86419999999999997</v>
      </c>
      <c r="G27" s="581">
        <v>2.3866999999999998</v>
      </c>
      <c r="H27" s="581">
        <v>2.1800000000000002</v>
      </c>
    </row>
    <row r="28" spans="1:8">
      <c r="A28" s="581">
        <v>22</v>
      </c>
      <c r="B28" s="581" t="s">
        <v>1541</v>
      </c>
      <c r="C28" s="581">
        <v>1.4569000000000001</v>
      </c>
      <c r="D28" s="581">
        <v>0.15770000000000001</v>
      </c>
      <c r="E28" s="581">
        <v>2.8576999999999999</v>
      </c>
      <c r="F28" s="581">
        <v>0.60819999999999996</v>
      </c>
      <c r="G28" s="581">
        <v>1.7615000000000001</v>
      </c>
      <c r="H28" s="581">
        <v>2.0283000000000002</v>
      </c>
    </row>
    <row r="29" spans="1:8">
      <c r="A29" s="581">
        <v>23</v>
      </c>
      <c r="B29" s="581" t="s">
        <v>1542</v>
      </c>
      <c r="C29" s="581">
        <v>1.7359</v>
      </c>
      <c r="D29" s="581">
        <v>0.24490000000000001</v>
      </c>
      <c r="E29" s="581">
        <v>5.1543000000000001</v>
      </c>
      <c r="F29" s="581">
        <v>0.78449999999999998</v>
      </c>
      <c r="G29" s="581">
        <v>1.9265000000000001</v>
      </c>
      <c r="H29" s="581">
        <v>2.0623999999999998</v>
      </c>
    </row>
    <row r="30" spans="1:8">
      <c r="A30" s="581">
        <v>24</v>
      </c>
      <c r="B30" s="581" t="s">
        <v>1543</v>
      </c>
      <c r="C30" s="581">
        <v>1.1913</v>
      </c>
      <c r="D30" s="581">
        <v>0.12690000000000001</v>
      </c>
      <c r="E30" s="581">
        <v>1.7309000000000001</v>
      </c>
      <c r="F30" s="581">
        <v>0.31730000000000003</v>
      </c>
      <c r="G30" s="581">
        <v>1.325</v>
      </c>
      <c r="H30" s="581">
        <v>1.7181</v>
      </c>
    </row>
    <row r="31" spans="1:8">
      <c r="A31" s="581">
        <v>25</v>
      </c>
      <c r="B31" s="581" t="s">
        <v>1544</v>
      </c>
      <c r="C31" s="581">
        <v>1.4956</v>
      </c>
      <c r="D31" s="581">
        <v>0.13159999999999999</v>
      </c>
      <c r="E31" s="581">
        <v>1.9758</v>
      </c>
      <c r="F31" s="581">
        <v>0.60270000000000001</v>
      </c>
      <c r="G31" s="581">
        <v>2.2877999999999998</v>
      </c>
      <c r="H31" s="581">
        <v>3.6337000000000002</v>
      </c>
    </row>
    <row r="32" spans="1:8">
      <c r="A32" s="581">
        <v>26</v>
      </c>
      <c r="B32" s="581" t="s">
        <v>1545</v>
      </c>
      <c r="C32" s="581">
        <v>1.5350999999999999</v>
      </c>
      <c r="D32" s="581">
        <v>0.13550000000000001</v>
      </c>
      <c r="E32" s="581">
        <v>2.7368999999999999</v>
      </c>
      <c r="F32" s="581">
        <v>0.60119999999999996</v>
      </c>
      <c r="G32" s="581">
        <v>2.1726999999999999</v>
      </c>
      <c r="H32" s="581">
        <v>2.2229000000000001</v>
      </c>
    </row>
    <row r="33" spans="1:8">
      <c r="A33" s="581">
        <v>27</v>
      </c>
      <c r="B33" s="581" t="s">
        <v>1546</v>
      </c>
      <c r="C33" s="581">
        <v>1.5961000000000001</v>
      </c>
      <c r="D33" s="581">
        <v>0.2742</v>
      </c>
      <c r="E33" s="581">
        <v>4.7027999999999999</v>
      </c>
      <c r="F33" s="581">
        <v>1.0083</v>
      </c>
      <c r="G33" s="581">
        <v>1.6014999999999999</v>
      </c>
      <c r="H33" s="581">
        <v>2.0615999999999999</v>
      </c>
    </row>
    <row r="34" spans="1:8">
      <c r="A34" s="581">
        <v>28</v>
      </c>
      <c r="B34" s="581" t="s">
        <v>1547</v>
      </c>
      <c r="C34" s="581">
        <v>1.5867</v>
      </c>
      <c r="D34" s="581">
        <v>0.3044</v>
      </c>
      <c r="E34" s="581">
        <v>9.8178000000000001</v>
      </c>
      <c r="F34" s="581">
        <v>1.0244</v>
      </c>
      <c r="G34" s="581">
        <v>1.4478</v>
      </c>
      <c r="H34" s="581">
        <v>1.3272999999999999</v>
      </c>
    </row>
    <row r="35" spans="1:8">
      <c r="A35" s="581">
        <v>29</v>
      </c>
      <c r="B35" s="581" t="s">
        <v>1548</v>
      </c>
      <c r="C35" s="581">
        <v>1.3779999999999999</v>
      </c>
      <c r="D35" s="581">
        <v>0.12790000000000001</v>
      </c>
      <c r="E35" s="581">
        <v>2.6375000000000002</v>
      </c>
      <c r="F35" s="581">
        <v>0.58930000000000005</v>
      </c>
      <c r="G35" s="581">
        <v>2.0710000000000002</v>
      </c>
      <c r="H35" s="581">
        <v>2.5299999999999998</v>
      </c>
    </row>
    <row r="36" spans="1:8">
      <c r="A36" s="581">
        <v>30</v>
      </c>
      <c r="B36" s="581" t="s">
        <v>1549</v>
      </c>
      <c r="C36" s="581">
        <v>1.5701000000000001</v>
      </c>
      <c r="D36" s="581">
        <v>0.1406</v>
      </c>
      <c r="E36" s="581">
        <v>2.6829999999999998</v>
      </c>
      <c r="F36" s="581">
        <v>0.74329999999999996</v>
      </c>
      <c r="G36" s="581">
        <v>3.6575000000000002</v>
      </c>
      <c r="H36" s="581">
        <v>5.1384999999999996</v>
      </c>
    </row>
    <row r="37" spans="1:8">
      <c r="A37" s="581">
        <v>31</v>
      </c>
      <c r="B37" s="581" t="s">
        <v>1550</v>
      </c>
      <c r="C37" s="581">
        <v>1.3942000000000001</v>
      </c>
      <c r="D37" s="581">
        <v>0.1376</v>
      </c>
      <c r="E37" s="581">
        <v>2.3631000000000002</v>
      </c>
      <c r="F37" s="581">
        <v>0.61199999999999999</v>
      </c>
      <c r="G37" s="581">
        <v>2.0327999999999999</v>
      </c>
      <c r="H37" s="581">
        <v>3.3323999999999998</v>
      </c>
    </row>
    <row r="38" spans="1:8">
      <c r="A38" s="581">
        <v>32</v>
      </c>
      <c r="B38" s="581" t="s">
        <v>1551</v>
      </c>
      <c r="C38" s="581">
        <v>1.5652999999999999</v>
      </c>
      <c r="D38" s="581">
        <v>0.23780000000000001</v>
      </c>
      <c r="E38" s="581">
        <v>5.3177000000000003</v>
      </c>
      <c r="F38" s="581">
        <v>0.77649999999999997</v>
      </c>
      <c r="G38" s="581">
        <v>1.7325999999999999</v>
      </c>
      <c r="H38" s="581">
        <v>1.8831</v>
      </c>
    </row>
    <row r="39" spans="1:8">
      <c r="A39" s="581">
        <v>33</v>
      </c>
      <c r="B39" s="581" t="s">
        <v>1552</v>
      </c>
      <c r="C39" s="581">
        <v>1.5470999999999999</v>
      </c>
      <c r="D39" s="581">
        <v>0.40539999999999998</v>
      </c>
      <c r="E39" s="581">
        <v>15.1957</v>
      </c>
      <c r="F39" s="581">
        <v>0.87039999999999995</v>
      </c>
      <c r="G39" s="581">
        <v>1.3062</v>
      </c>
      <c r="H39" s="581">
        <v>1.1821999999999999</v>
      </c>
    </row>
    <row r="40" spans="1:8">
      <c r="A40" s="581">
        <v>34</v>
      </c>
      <c r="B40" s="581" t="s">
        <v>1553</v>
      </c>
      <c r="C40" s="581">
        <v>1.4918</v>
      </c>
      <c r="D40" s="581">
        <v>0.22689999999999999</v>
      </c>
      <c r="E40" s="581">
        <v>3.6307</v>
      </c>
      <c r="F40" s="581">
        <v>0.78280000000000005</v>
      </c>
      <c r="G40" s="581">
        <v>1.6472</v>
      </c>
      <c r="H40" s="581">
        <v>2.4171999999999998</v>
      </c>
    </row>
    <row r="41" spans="1:8">
      <c r="A41" s="581">
        <v>35</v>
      </c>
      <c r="B41" s="581" t="s">
        <v>1554</v>
      </c>
      <c r="C41" s="581">
        <v>1.476</v>
      </c>
      <c r="D41" s="581">
        <v>0.30009999999999998</v>
      </c>
      <c r="E41" s="581">
        <v>6.5499000000000001</v>
      </c>
      <c r="F41" s="581">
        <v>0.96919999999999995</v>
      </c>
      <c r="G41" s="581">
        <v>1.3864000000000001</v>
      </c>
      <c r="H41" s="581">
        <v>1.4913000000000001</v>
      </c>
    </row>
    <row r="42" spans="1:8">
      <c r="A42" s="581">
        <v>36</v>
      </c>
      <c r="B42" s="581" t="s">
        <v>1555</v>
      </c>
      <c r="C42" s="581">
        <v>1.5612999999999999</v>
      </c>
      <c r="D42" s="581">
        <v>0.30859999999999999</v>
      </c>
      <c r="E42" s="581">
        <v>7.4156000000000004</v>
      </c>
      <c r="F42" s="581">
        <v>1.0391999999999999</v>
      </c>
      <c r="G42" s="581">
        <v>1.4274</v>
      </c>
      <c r="H42" s="581">
        <v>1.4974000000000001</v>
      </c>
    </row>
    <row r="43" spans="1:8">
      <c r="A43" s="581">
        <v>37</v>
      </c>
      <c r="B43" s="581" t="s">
        <v>1556</v>
      </c>
      <c r="C43" s="581">
        <v>1.8326</v>
      </c>
      <c r="D43" s="581">
        <v>0.25319999999999998</v>
      </c>
      <c r="E43" s="581">
        <v>4.9225000000000003</v>
      </c>
      <c r="F43" s="581">
        <v>0.92630000000000001</v>
      </c>
      <c r="G43" s="581">
        <v>2.2770000000000001</v>
      </c>
      <c r="H43" s="581">
        <v>3.0148000000000001</v>
      </c>
    </row>
    <row r="44" spans="1:8">
      <c r="A44" s="581">
        <v>38</v>
      </c>
      <c r="B44" s="581" t="s">
        <v>1557</v>
      </c>
      <c r="C44" s="581">
        <v>1.6091</v>
      </c>
      <c r="D44" s="581">
        <v>0.23680000000000001</v>
      </c>
      <c r="E44" s="581">
        <v>6.5141</v>
      </c>
      <c r="F44" s="581">
        <v>0.96440000000000003</v>
      </c>
      <c r="G44" s="581">
        <v>1.7522</v>
      </c>
      <c r="H44" s="581">
        <v>1.6633</v>
      </c>
    </row>
    <row r="45" spans="1:8">
      <c r="A45" s="581">
        <v>39</v>
      </c>
      <c r="B45" s="581" t="s">
        <v>1558</v>
      </c>
      <c r="C45" s="581">
        <v>1.92</v>
      </c>
      <c r="D45" s="581">
        <v>0.30669999999999997</v>
      </c>
      <c r="E45" s="581">
        <v>5.1814</v>
      </c>
      <c r="F45" s="581">
        <v>0.96819999999999995</v>
      </c>
      <c r="G45" s="581">
        <v>2.0628000000000002</v>
      </c>
      <c r="H45" s="581">
        <v>3.9081000000000001</v>
      </c>
    </row>
    <row r="46" spans="1:8">
      <c r="A46" s="581">
        <v>40</v>
      </c>
      <c r="B46" s="581" t="s">
        <v>1559</v>
      </c>
      <c r="C46" s="581">
        <v>1.6119000000000001</v>
      </c>
      <c r="D46" s="581">
        <v>0.156</v>
      </c>
      <c r="E46" s="581">
        <v>2.8733</v>
      </c>
      <c r="F46" s="581">
        <v>0.90759999999999996</v>
      </c>
      <c r="G46" s="581">
        <v>2.5207000000000002</v>
      </c>
      <c r="H46" s="581">
        <v>3.6749000000000001</v>
      </c>
    </row>
    <row r="47" spans="1:8">
      <c r="A47" s="581">
        <v>41</v>
      </c>
      <c r="B47" s="581" t="s">
        <v>1560</v>
      </c>
      <c r="C47" s="581">
        <v>1.7078</v>
      </c>
      <c r="D47" s="581">
        <v>0.19739999999999999</v>
      </c>
      <c r="E47" s="581">
        <v>3.7524000000000002</v>
      </c>
      <c r="F47" s="581">
        <v>0.89629999999999999</v>
      </c>
      <c r="G47" s="581">
        <v>2.4737</v>
      </c>
      <c r="H47" s="581">
        <v>3.9188999999999998</v>
      </c>
    </row>
    <row r="48" spans="1:8">
      <c r="A48" s="581">
        <v>42</v>
      </c>
      <c r="B48" s="581" t="s">
        <v>1561</v>
      </c>
      <c r="C48" s="581">
        <v>1.8119000000000001</v>
      </c>
      <c r="D48" s="581">
        <v>0.24030000000000001</v>
      </c>
      <c r="E48" s="581">
        <v>4.6768999999999998</v>
      </c>
      <c r="F48" s="581">
        <v>0.9728</v>
      </c>
      <c r="G48" s="581">
        <v>2.3622999999999998</v>
      </c>
      <c r="H48" s="581">
        <v>3.0164</v>
      </c>
    </row>
    <row r="49" spans="1:8">
      <c r="A49" s="581">
        <v>43</v>
      </c>
      <c r="B49" s="581" t="s">
        <v>1562</v>
      </c>
      <c r="C49" s="581">
        <v>1.8680000000000001</v>
      </c>
      <c r="D49" s="581">
        <v>0.43090000000000001</v>
      </c>
      <c r="E49" s="581">
        <v>7.3167999999999997</v>
      </c>
      <c r="F49" s="581">
        <v>1.048</v>
      </c>
      <c r="G49" s="581">
        <v>1.5145999999999999</v>
      </c>
      <c r="H49" s="581">
        <v>1.8794999999999999</v>
      </c>
    </row>
    <row r="50" spans="1:8">
      <c r="A50" s="581">
        <v>44</v>
      </c>
      <c r="B50" s="581" t="s">
        <v>1563</v>
      </c>
      <c r="C50" s="581">
        <v>1.5902000000000001</v>
      </c>
      <c r="D50" s="581">
        <v>0.26150000000000001</v>
      </c>
      <c r="E50" s="581">
        <v>4.2702999999999998</v>
      </c>
      <c r="F50" s="581">
        <v>1.0323</v>
      </c>
      <c r="G50" s="581">
        <v>1.6174999999999999</v>
      </c>
      <c r="H50" s="581">
        <v>1.9968999999999999</v>
      </c>
    </row>
    <row r="51" spans="1:8">
      <c r="A51" s="581">
        <v>45</v>
      </c>
      <c r="B51" s="581" t="s">
        <v>1564</v>
      </c>
      <c r="C51" s="581">
        <v>1.8503000000000001</v>
      </c>
      <c r="D51" s="581">
        <v>0.28260000000000002</v>
      </c>
      <c r="E51" s="581">
        <v>4.3895</v>
      </c>
      <c r="F51" s="581">
        <v>0.93</v>
      </c>
      <c r="G51" s="581">
        <v>2.5230999999999999</v>
      </c>
      <c r="H51" s="581">
        <v>3.8774999999999999</v>
      </c>
    </row>
    <row r="52" spans="1:8">
      <c r="A52" s="581">
        <v>46</v>
      </c>
      <c r="B52" s="581" t="s">
        <v>1565</v>
      </c>
      <c r="C52" s="581">
        <v>1.4406000000000001</v>
      </c>
      <c r="D52" s="581">
        <v>0.1033</v>
      </c>
      <c r="E52" s="581">
        <v>5.1664000000000003</v>
      </c>
      <c r="F52" s="581">
        <v>0.95220000000000005</v>
      </c>
      <c r="G52" s="581">
        <v>2.5708000000000002</v>
      </c>
      <c r="H52" s="581">
        <v>1.4493</v>
      </c>
    </row>
    <row r="53" spans="1:8">
      <c r="A53" s="581">
        <v>47</v>
      </c>
      <c r="B53" s="581" t="s">
        <v>1566</v>
      </c>
      <c r="C53" s="581">
        <v>1.6970000000000001</v>
      </c>
      <c r="D53" s="581">
        <v>0.25180000000000002</v>
      </c>
      <c r="E53" s="581">
        <v>4.7215999999999996</v>
      </c>
      <c r="F53" s="581">
        <v>1.0646</v>
      </c>
      <c r="G53" s="581">
        <v>1.8468</v>
      </c>
      <c r="H53" s="581">
        <v>2.2887</v>
      </c>
    </row>
    <row r="54" spans="1:8">
      <c r="A54" s="581">
        <v>48</v>
      </c>
      <c r="B54" s="581" t="s">
        <v>1567</v>
      </c>
      <c r="C54" s="581">
        <v>1.6480999999999999</v>
      </c>
      <c r="D54" s="581">
        <v>0.38030000000000003</v>
      </c>
      <c r="E54" s="581">
        <v>6.6986999999999997</v>
      </c>
      <c r="F54" s="581">
        <v>1.0649</v>
      </c>
      <c r="G54" s="581">
        <v>1.4173</v>
      </c>
      <c r="H54" s="581">
        <v>1.7478</v>
      </c>
    </row>
    <row r="55" spans="1:8">
      <c r="A55" s="581">
        <v>49</v>
      </c>
      <c r="B55" s="581" t="s">
        <v>1568</v>
      </c>
      <c r="C55" s="581">
        <v>1.6193</v>
      </c>
      <c r="D55" s="581">
        <v>0.27189999999999998</v>
      </c>
      <c r="E55" s="581">
        <v>3.8260999999999998</v>
      </c>
      <c r="F55" s="581">
        <v>1.0175000000000001</v>
      </c>
      <c r="G55" s="581">
        <v>1.6644000000000001</v>
      </c>
      <c r="H55" s="581">
        <v>2.8290999999999999</v>
      </c>
    </row>
    <row r="56" spans="1:8">
      <c r="A56" s="581">
        <v>50</v>
      </c>
      <c r="B56" s="581" t="s">
        <v>1569</v>
      </c>
      <c r="C56" s="581">
        <v>1.6415999999999999</v>
      </c>
      <c r="D56" s="581">
        <v>0.3503</v>
      </c>
      <c r="E56" s="581">
        <v>11.8719</v>
      </c>
      <c r="F56" s="581">
        <v>1.0244</v>
      </c>
      <c r="G56" s="581">
        <v>1.4621999999999999</v>
      </c>
      <c r="H56" s="581">
        <v>1.3146</v>
      </c>
    </row>
    <row r="57" spans="1:8">
      <c r="A57" s="581">
        <v>51</v>
      </c>
      <c r="B57" s="581" t="s">
        <v>1570</v>
      </c>
      <c r="C57" s="581">
        <v>1.7087000000000001</v>
      </c>
      <c r="D57" s="581">
        <v>0.38500000000000001</v>
      </c>
      <c r="E57" s="581">
        <v>7.4813999999999998</v>
      </c>
      <c r="F57" s="581">
        <v>0.93740000000000001</v>
      </c>
      <c r="G57" s="581">
        <v>1.4936</v>
      </c>
      <c r="H57" s="581">
        <v>1.6943999999999999</v>
      </c>
    </row>
    <row r="58" spans="1:8">
      <c r="A58" s="581">
        <v>52</v>
      </c>
      <c r="B58" s="581" t="s">
        <v>1571</v>
      </c>
      <c r="C58" s="581">
        <v>1.7113</v>
      </c>
      <c r="D58" s="581">
        <v>0.4783</v>
      </c>
      <c r="E58" s="581">
        <v>15.711499999999999</v>
      </c>
      <c r="F58" s="581">
        <v>1.0754999999999999</v>
      </c>
      <c r="G58" s="581">
        <v>1.3148</v>
      </c>
      <c r="H58" s="581">
        <v>1.2422</v>
      </c>
    </row>
    <row r="59" spans="1:8">
      <c r="A59" s="581">
        <v>53</v>
      </c>
      <c r="B59" s="581" t="s">
        <v>1572</v>
      </c>
      <c r="C59" s="581">
        <v>1.7839</v>
      </c>
      <c r="D59" s="581">
        <v>0.4632</v>
      </c>
      <c r="E59" s="581">
        <v>8.9868000000000006</v>
      </c>
      <c r="F59" s="581">
        <v>1.1027</v>
      </c>
      <c r="G59" s="581">
        <v>1.4068000000000001</v>
      </c>
      <c r="H59" s="581">
        <v>1.6033999999999999</v>
      </c>
    </row>
    <row r="60" spans="1:8">
      <c r="A60" s="581">
        <v>54</v>
      </c>
      <c r="B60" s="581" t="s">
        <v>1573</v>
      </c>
      <c r="C60" s="581">
        <v>1.8415999999999999</v>
      </c>
      <c r="D60" s="581">
        <v>0.41160000000000002</v>
      </c>
      <c r="E60" s="581">
        <v>8.5557999999999996</v>
      </c>
      <c r="F60" s="581">
        <v>1.0415000000000001</v>
      </c>
      <c r="G60" s="581">
        <v>1.4594</v>
      </c>
      <c r="H60" s="581">
        <v>1.6705000000000001</v>
      </c>
    </row>
    <row r="61" spans="1:8">
      <c r="A61" s="581">
        <v>55</v>
      </c>
      <c r="B61" s="581" t="s">
        <v>1574</v>
      </c>
      <c r="C61" s="581">
        <v>1.6348</v>
      </c>
      <c r="D61" s="581">
        <v>0.3725</v>
      </c>
      <c r="E61" s="581">
        <v>11.0466</v>
      </c>
      <c r="F61" s="581">
        <v>1.0515000000000001</v>
      </c>
      <c r="G61" s="581">
        <v>1.379</v>
      </c>
      <c r="H61" s="581">
        <v>1.3267</v>
      </c>
    </row>
    <row r="62" spans="1:8">
      <c r="A62" s="581">
        <v>56</v>
      </c>
      <c r="B62" s="581" t="s">
        <v>1575</v>
      </c>
      <c r="C62" s="581">
        <v>1.7411000000000001</v>
      </c>
      <c r="D62" s="581">
        <v>0.45</v>
      </c>
      <c r="E62" s="581">
        <v>18.190200000000001</v>
      </c>
      <c r="F62" s="581">
        <v>1.0797000000000001</v>
      </c>
      <c r="G62" s="581">
        <v>1.3713</v>
      </c>
      <c r="H62" s="581">
        <v>1.2150000000000001</v>
      </c>
    </row>
    <row r="63" spans="1:8">
      <c r="A63" s="581">
        <v>57</v>
      </c>
      <c r="B63" s="581" t="s">
        <v>1576</v>
      </c>
      <c r="C63" s="581">
        <v>1.8499000000000001</v>
      </c>
      <c r="D63" s="581">
        <v>0.3851</v>
      </c>
      <c r="E63" s="581">
        <v>12.522600000000001</v>
      </c>
      <c r="F63" s="581">
        <v>1.1135999999999999</v>
      </c>
      <c r="G63" s="581">
        <v>1.6826000000000001</v>
      </c>
      <c r="H63" s="581">
        <v>1.5174000000000001</v>
      </c>
    </row>
    <row r="64" spans="1:8">
      <c r="A64" s="581">
        <v>58</v>
      </c>
      <c r="B64" s="581" t="s">
        <v>1577</v>
      </c>
      <c r="C64" s="581">
        <v>1.6128</v>
      </c>
      <c r="D64" s="581">
        <v>0.33929999999999999</v>
      </c>
      <c r="E64" s="581">
        <v>15.185700000000001</v>
      </c>
      <c r="F64" s="581">
        <v>1.0219</v>
      </c>
      <c r="G64" s="581">
        <v>1.4058999999999999</v>
      </c>
      <c r="H64" s="581">
        <v>1.198</v>
      </c>
    </row>
    <row r="65" spans="1:8">
      <c r="A65" s="581">
        <v>59</v>
      </c>
      <c r="B65" s="581" t="s">
        <v>1578</v>
      </c>
      <c r="C65" s="581">
        <v>1.6717</v>
      </c>
      <c r="D65" s="581">
        <v>0.2397</v>
      </c>
      <c r="E65" s="581">
        <v>6.1283000000000003</v>
      </c>
      <c r="F65" s="581">
        <v>0.94720000000000004</v>
      </c>
      <c r="G65" s="581">
        <v>1.9085000000000001</v>
      </c>
      <c r="H65" s="581">
        <v>1.8022</v>
      </c>
    </row>
    <row r="66" spans="1:8">
      <c r="A66" s="581">
        <v>60</v>
      </c>
      <c r="B66" s="581" t="s">
        <v>1579</v>
      </c>
      <c r="C66" s="581">
        <v>1.6705000000000001</v>
      </c>
      <c r="D66" s="581">
        <v>0.31890000000000002</v>
      </c>
      <c r="E66" s="581">
        <v>14.1755</v>
      </c>
      <c r="F66" s="581">
        <v>0.9284</v>
      </c>
      <c r="G66" s="581">
        <v>1.4809000000000001</v>
      </c>
      <c r="H66" s="581">
        <v>1.2192000000000001</v>
      </c>
    </row>
    <row r="67" spans="1:8">
      <c r="A67" s="581">
        <v>61</v>
      </c>
      <c r="B67" s="581" t="s">
        <v>1580</v>
      </c>
      <c r="C67" s="581">
        <v>1.7761</v>
      </c>
      <c r="D67" s="581">
        <v>0.41310000000000002</v>
      </c>
      <c r="E67" s="581">
        <v>10.444599999999999</v>
      </c>
      <c r="F67" s="581">
        <v>1.0192000000000001</v>
      </c>
      <c r="G67" s="581">
        <v>1.4643999999999999</v>
      </c>
      <c r="H67" s="581">
        <v>1.46</v>
      </c>
    </row>
    <row r="68" spans="1:8">
      <c r="A68" s="581">
        <v>62</v>
      </c>
      <c r="B68" s="581" t="s">
        <v>1581</v>
      </c>
      <c r="C68" s="581">
        <v>0.98450000000000004</v>
      </c>
      <c r="D68" s="581">
        <v>0.1699</v>
      </c>
      <c r="E68" s="581">
        <v>4.6905000000000001</v>
      </c>
      <c r="F68" s="581">
        <v>0.59099999999999997</v>
      </c>
      <c r="G68" s="581">
        <v>0</v>
      </c>
      <c r="H68" s="581">
        <v>0</v>
      </c>
    </row>
    <row r="70" spans="1:8">
      <c r="C70" s="581">
        <f>SUM(C6:C68)</f>
        <v>99.140499999999975</v>
      </c>
      <c r="D70" s="581">
        <f t="shared" ref="D70:H70" si="0">SUM(D6:D68)</f>
        <v>16.199799999999996</v>
      </c>
      <c r="E70" s="581">
        <f t="shared" si="0"/>
        <v>405.00509999999997</v>
      </c>
      <c r="F70" s="581">
        <f t="shared" si="0"/>
        <v>51.643799999999992</v>
      </c>
      <c r="G70" s="581">
        <f t="shared" si="0"/>
        <v>109.97190000000002</v>
      </c>
      <c r="H70" s="581">
        <f t="shared" si="0"/>
        <v>127.15249999999993</v>
      </c>
    </row>
    <row r="71" spans="1:8">
      <c r="C71" s="581">
        <f>C70-SUM(bergen!B2:B63)</f>
        <v>0.31849999999997181</v>
      </c>
      <c r="D71" s="581">
        <f>D70-SUM(bergen!C2:C63)</f>
        <v>-1.8400000000003303E-2</v>
      </c>
      <c r="E71" s="581">
        <f>E70-SUM(bergen!D2:D63)</f>
        <v>-9.8673999999999751</v>
      </c>
      <c r="F71" s="581">
        <f>F70-SUM(bergen!E2:E63)</f>
        <v>-1.5248000000000062</v>
      </c>
      <c r="G71" s="581">
        <f>G70-SUM(bergen!F2:F63)</f>
        <v>0.41480000000004225</v>
      </c>
      <c r="H71" s="581">
        <f>H70-SUM(bergen!G2:G63)</f>
        <v>5.2602999999999724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H71"/>
  <sheetViews>
    <sheetView topLeftCell="A61" workbookViewId="0">
      <selection activeCell="D71" sqref="D71:H71"/>
    </sheetView>
  </sheetViews>
  <sheetFormatPr defaultColWidth="9.109375" defaultRowHeight="14.4"/>
  <cols>
    <col min="1" max="16384" width="9.109375" style="581"/>
  </cols>
  <sheetData>
    <row r="1" spans="1:8">
      <c r="A1" s="581" t="s">
        <v>1513</v>
      </c>
    </row>
    <row r="2" spans="1:8">
      <c r="A2" s="581" t="s">
        <v>1601</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1.37</v>
      </c>
      <c r="D7" s="581">
        <v>0.1845</v>
      </c>
      <c r="E7" s="581">
        <v>7.9116999999999997</v>
      </c>
      <c r="F7" s="581">
        <v>0.58740000000000003</v>
      </c>
      <c r="G7" s="581">
        <v>1.2466999999999999</v>
      </c>
      <c r="H7" s="581">
        <v>1.1217999999999999</v>
      </c>
    </row>
    <row r="8" spans="1:8">
      <c r="A8" s="581">
        <v>2</v>
      </c>
      <c r="B8" s="581" t="s">
        <v>1521</v>
      </c>
      <c r="C8" s="581">
        <v>1.6685000000000001</v>
      </c>
      <c r="D8" s="581">
        <v>0.70389999999999997</v>
      </c>
      <c r="E8" s="581">
        <v>31.540700000000001</v>
      </c>
      <c r="F8" s="581">
        <v>1.0543</v>
      </c>
      <c r="G8" s="581">
        <v>1.1335</v>
      </c>
      <c r="H8" s="581">
        <v>1.0744</v>
      </c>
    </row>
    <row r="9" spans="1:8">
      <c r="A9" s="581">
        <v>3</v>
      </c>
      <c r="B9" s="581" t="s">
        <v>1522</v>
      </c>
      <c r="C9" s="581">
        <v>1</v>
      </c>
      <c r="D9" s="581">
        <v>0</v>
      </c>
      <c r="E9" s="581">
        <v>0</v>
      </c>
      <c r="F9" s="581">
        <v>0</v>
      </c>
      <c r="G9" s="581">
        <v>0</v>
      </c>
      <c r="H9" s="581">
        <v>0</v>
      </c>
    </row>
    <row r="10" spans="1:8">
      <c r="A10" s="581">
        <v>4</v>
      </c>
      <c r="B10" s="581" t="s">
        <v>1523</v>
      </c>
      <c r="C10" s="581">
        <v>1.5438000000000001</v>
      </c>
      <c r="D10" s="581">
        <v>0.15659999999999999</v>
      </c>
      <c r="E10" s="581">
        <v>2.7103999999999999</v>
      </c>
      <c r="F10" s="581">
        <v>0.8175</v>
      </c>
      <c r="G10" s="581">
        <v>1.6973</v>
      </c>
      <c r="H10" s="581">
        <v>1.9350000000000001</v>
      </c>
    </row>
    <row r="11" spans="1:8">
      <c r="A11" s="581">
        <v>5</v>
      </c>
      <c r="B11" s="581" t="s">
        <v>1524</v>
      </c>
      <c r="C11" s="581">
        <v>1</v>
      </c>
      <c r="D11" s="581">
        <v>0</v>
      </c>
      <c r="E11" s="581">
        <v>0</v>
      </c>
      <c r="F11" s="581">
        <v>0</v>
      </c>
      <c r="G11" s="581">
        <v>0</v>
      </c>
      <c r="H11" s="581">
        <v>0</v>
      </c>
    </row>
    <row r="12" spans="1:8">
      <c r="A12" s="581">
        <v>6</v>
      </c>
      <c r="B12" s="581" t="s">
        <v>1525</v>
      </c>
      <c r="C12" s="581">
        <v>1.1639999999999999</v>
      </c>
      <c r="D12" s="581">
        <v>4.6800000000000001E-2</v>
      </c>
      <c r="E12" s="581">
        <v>0.62539999999999996</v>
      </c>
      <c r="F12" s="581">
        <v>0.6643</v>
      </c>
      <c r="G12" s="581">
        <v>1.5989</v>
      </c>
      <c r="H12" s="581">
        <v>2.2911999999999999</v>
      </c>
    </row>
    <row r="13" spans="1:8">
      <c r="A13" s="581">
        <v>7</v>
      </c>
      <c r="B13" s="581" t="s">
        <v>1526</v>
      </c>
      <c r="C13" s="581">
        <v>1.5931</v>
      </c>
      <c r="D13" s="581">
        <v>0.2112</v>
      </c>
      <c r="E13" s="581">
        <v>4.3048999999999999</v>
      </c>
      <c r="F13" s="581">
        <v>0.81220000000000003</v>
      </c>
      <c r="G13" s="581">
        <v>1.4476</v>
      </c>
      <c r="H13" s="581">
        <v>1.5456000000000001</v>
      </c>
    </row>
    <row r="14" spans="1:8">
      <c r="A14" s="581">
        <v>8</v>
      </c>
      <c r="B14" s="581" t="s">
        <v>1527</v>
      </c>
      <c r="C14" s="581">
        <v>1.5876999999999999</v>
      </c>
      <c r="D14" s="581">
        <v>0.1048</v>
      </c>
      <c r="E14" s="581">
        <v>2.3519000000000001</v>
      </c>
      <c r="F14" s="581">
        <v>0.58499999999999996</v>
      </c>
      <c r="G14" s="581">
        <v>2.5554999999999999</v>
      </c>
      <c r="H14" s="581">
        <v>2.2486000000000002</v>
      </c>
    </row>
    <row r="15" spans="1:8">
      <c r="A15" s="581">
        <v>9</v>
      </c>
      <c r="B15" s="581" t="s">
        <v>1528</v>
      </c>
      <c r="C15" s="581">
        <v>1.5773999999999999</v>
      </c>
      <c r="D15" s="581">
        <v>0.16339999999999999</v>
      </c>
      <c r="E15" s="581">
        <v>3.1762999999999999</v>
      </c>
      <c r="F15" s="581">
        <v>0.69350000000000001</v>
      </c>
      <c r="G15" s="581">
        <v>1.6903999999999999</v>
      </c>
      <c r="H15" s="581">
        <v>1.7599</v>
      </c>
    </row>
    <row r="16" spans="1:8">
      <c r="A16" s="581">
        <v>10</v>
      </c>
      <c r="B16" s="581" t="s">
        <v>1529</v>
      </c>
      <c r="C16" s="581">
        <v>1.5671999999999999</v>
      </c>
      <c r="D16" s="581">
        <v>9.2299999999999993E-2</v>
      </c>
      <c r="E16" s="581">
        <v>1.6676</v>
      </c>
      <c r="F16" s="581">
        <v>0.47770000000000001</v>
      </c>
      <c r="G16" s="581">
        <v>2.1669</v>
      </c>
      <c r="H16" s="581">
        <v>2.3862000000000001</v>
      </c>
    </row>
    <row r="17" spans="1:8">
      <c r="A17" s="581">
        <v>11</v>
      </c>
      <c r="B17" s="581" t="s">
        <v>1530</v>
      </c>
      <c r="C17" s="581">
        <v>1.5392999999999999</v>
      </c>
      <c r="D17" s="581">
        <v>0.14879999999999999</v>
      </c>
      <c r="E17" s="581">
        <v>2.9502000000000002</v>
      </c>
      <c r="F17" s="581">
        <v>0.68100000000000005</v>
      </c>
      <c r="G17" s="581">
        <v>1.6432</v>
      </c>
      <c r="H17" s="581">
        <v>1.7048000000000001</v>
      </c>
    </row>
    <row r="18" spans="1:8">
      <c r="A18" s="581">
        <v>12</v>
      </c>
      <c r="B18" s="581" t="s">
        <v>1531</v>
      </c>
      <c r="C18" s="581">
        <v>1.5849</v>
      </c>
      <c r="D18" s="581">
        <v>0.1517</v>
      </c>
      <c r="E18" s="581">
        <v>2.6528</v>
      </c>
      <c r="F18" s="581">
        <v>0.66549999999999998</v>
      </c>
      <c r="G18" s="581">
        <v>1.7614000000000001</v>
      </c>
      <c r="H18" s="581">
        <v>1.9543999999999999</v>
      </c>
    </row>
    <row r="19" spans="1:8">
      <c r="A19" s="581">
        <v>13</v>
      </c>
      <c r="B19" s="581" t="s">
        <v>1532</v>
      </c>
      <c r="C19" s="581">
        <v>1.5036</v>
      </c>
      <c r="D19" s="581">
        <v>0.11459999999999999</v>
      </c>
      <c r="E19" s="581">
        <v>1.7985</v>
      </c>
      <c r="F19" s="581">
        <v>0.78180000000000005</v>
      </c>
      <c r="G19" s="581">
        <v>2.0815999999999999</v>
      </c>
      <c r="H19" s="581">
        <v>2.6267999999999998</v>
      </c>
    </row>
    <row r="20" spans="1:8">
      <c r="A20" s="581">
        <v>14</v>
      </c>
      <c r="B20" s="581" t="s">
        <v>1533</v>
      </c>
      <c r="C20" s="581">
        <v>1.4892000000000001</v>
      </c>
      <c r="D20" s="581">
        <v>0.1142</v>
      </c>
      <c r="E20" s="581">
        <v>2.109</v>
      </c>
      <c r="F20" s="581">
        <v>0.6794</v>
      </c>
      <c r="G20" s="581">
        <v>1.8368</v>
      </c>
      <c r="H20" s="581">
        <v>1.9072</v>
      </c>
    </row>
    <row r="21" spans="1:8">
      <c r="A21" s="581">
        <v>15</v>
      </c>
      <c r="B21" s="581" t="s">
        <v>1534</v>
      </c>
      <c r="C21" s="581">
        <v>1.2842</v>
      </c>
      <c r="D21" s="581">
        <v>6.3899999999999998E-2</v>
      </c>
      <c r="E21" s="581">
        <v>1.1264000000000001</v>
      </c>
      <c r="F21" s="581">
        <v>0.37619999999999998</v>
      </c>
      <c r="G21" s="581">
        <v>2.0346000000000002</v>
      </c>
      <c r="H21" s="581">
        <v>2.1374</v>
      </c>
    </row>
    <row r="22" spans="1:8">
      <c r="A22" s="581">
        <v>16</v>
      </c>
      <c r="B22" s="581" t="s">
        <v>1535</v>
      </c>
      <c r="C22" s="581">
        <v>1.6749000000000001</v>
      </c>
      <c r="D22" s="581">
        <v>0.11509999999999999</v>
      </c>
      <c r="E22" s="581">
        <v>2.1625000000000001</v>
      </c>
      <c r="F22" s="581">
        <v>0.71109999999999995</v>
      </c>
      <c r="G22" s="581">
        <v>3.153</v>
      </c>
      <c r="H22" s="581">
        <v>3.1248</v>
      </c>
    </row>
    <row r="23" spans="1:8">
      <c r="A23" s="581">
        <v>17</v>
      </c>
      <c r="B23" s="581" t="s">
        <v>1536</v>
      </c>
      <c r="C23" s="581">
        <v>1.5791999999999999</v>
      </c>
      <c r="D23" s="581">
        <v>0.15720000000000001</v>
      </c>
      <c r="E23" s="581">
        <v>3.5013999999999998</v>
      </c>
      <c r="F23" s="581">
        <v>0.70860000000000001</v>
      </c>
      <c r="G23" s="581">
        <v>1.6909000000000001</v>
      </c>
      <c r="H23" s="581">
        <v>1.6500999999999999</v>
      </c>
    </row>
    <row r="24" spans="1:8">
      <c r="A24" s="581">
        <v>18</v>
      </c>
      <c r="B24" s="581" t="s">
        <v>1537</v>
      </c>
      <c r="C24" s="581">
        <v>1.4956</v>
      </c>
      <c r="D24" s="581">
        <v>0.15440000000000001</v>
      </c>
      <c r="E24" s="581">
        <v>2.7370000000000001</v>
      </c>
      <c r="F24" s="581">
        <v>0.7873</v>
      </c>
      <c r="G24" s="581">
        <v>1.5803</v>
      </c>
      <c r="H24" s="581">
        <v>1.7708999999999999</v>
      </c>
    </row>
    <row r="25" spans="1:8">
      <c r="A25" s="581">
        <v>19</v>
      </c>
      <c r="B25" s="581" t="s">
        <v>1538</v>
      </c>
      <c r="C25" s="581">
        <v>1.5395000000000001</v>
      </c>
      <c r="D25" s="581">
        <v>0.10349999999999999</v>
      </c>
      <c r="E25" s="581">
        <v>2.1524000000000001</v>
      </c>
      <c r="F25" s="581">
        <v>0.5252</v>
      </c>
      <c r="G25" s="581">
        <v>2.1812999999999998</v>
      </c>
      <c r="H25" s="581">
        <v>2.0758999999999999</v>
      </c>
    </row>
    <row r="26" spans="1:8">
      <c r="A26" s="581">
        <v>20</v>
      </c>
      <c r="B26" s="581" t="s">
        <v>1539</v>
      </c>
      <c r="C26" s="581">
        <v>1.5505</v>
      </c>
      <c r="D26" s="581">
        <v>0.23230000000000001</v>
      </c>
      <c r="E26" s="581">
        <v>5.4474999999999998</v>
      </c>
      <c r="F26" s="581">
        <v>0.58640000000000003</v>
      </c>
      <c r="G26" s="581">
        <v>1.4000999999999999</v>
      </c>
      <c r="H26" s="581">
        <v>1.3726</v>
      </c>
    </row>
    <row r="27" spans="1:8">
      <c r="A27" s="581">
        <v>21</v>
      </c>
      <c r="B27" s="581" t="s">
        <v>1540</v>
      </c>
      <c r="C27" s="581">
        <v>1.712</v>
      </c>
      <c r="D27" s="581">
        <v>0.247</v>
      </c>
      <c r="E27" s="581">
        <v>6.2111000000000001</v>
      </c>
      <c r="F27" s="581">
        <v>0.81299999999999994</v>
      </c>
      <c r="G27" s="581">
        <v>1.5649999999999999</v>
      </c>
      <c r="H27" s="581">
        <v>1.4696</v>
      </c>
    </row>
    <row r="28" spans="1:8">
      <c r="A28" s="581">
        <v>22</v>
      </c>
      <c r="B28" s="581" t="s">
        <v>1541</v>
      </c>
      <c r="C28" s="581">
        <v>1.6693</v>
      </c>
      <c r="D28" s="581">
        <v>0.15920000000000001</v>
      </c>
      <c r="E28" s="581">
        <v>2.7835999999999999</v>
      </c>
      <c r="F28" s="581">
        <v>0.69820000000000004</v>
      </c>
      <c r="G28" s="581">
        <v>1.8156000000000001</v>
      </c>
      <c r="H28" s="581">
        <v>2.0171000000000001</v>
      </c>
    </row>
    <row r="29" spans="1:8">
      <c r="A29" s="581">
        <v>23</v>
      </c>
      <c r="B29" s="581" t="s">
        <v>1542</v>
      </c>
      <c r="C29" s="581">
        <v>1.7891999999999999</v>
      </c>
      <c r="D29" s="581">
        <v>0.18940000000000001</v>
      </c>
      <c r="E29" s="581">
        <v>3.8307000000000002</v>
      </c>
      <c r="F29" s="581">
        <v>0.78039999999999998</v>
      </c>
      <c r="G29" s="581">
        <v>1.8792</v>
      </c>
      <c r="H29" s="581">
        <v>1.9333</v>
      </c>
    </row>
    <row r="30" spans="1:8">
      <c r="A30" s="581">
        <v>24</v>
      </c>
      <c r="B30" s="581" t="s">
        <v>1543</v>
      </c>
      <c r="C30" s="581">
        <v>1.1286</v>
      </c>
      <c r="D30" s="581">
        <v>3.5200000000000002E-2</v>
      </c>
      <c r="E30" s="581">
        <v>0.47199999999999998</v>
      </c>
      <c r="F30" s="581">
        <v>0.26740000000000003</v>
      </c>
      <c r="G30" s="581">
        <v>1.506</v>
      </c>
      <c r="H30" s="581">
        <v>1.9217</v>
      </c>
    </row>
    <row r="31" spans="1:8">
      <c r="A31" s="581">
        <v>25</v>
      </c>
      <c r="B31" s="581" t="s">
        <v>1544</v>
      </c>
      <c r="C31" s="581">
        <v>1.4869000000000001</v>
      </c>
      <c r="D31" s="581">
        <v>0.104</v>
      </c>
      <c r="E31" s="581">
        <v>1.4040999999999999</v>
      </c>
      <c r="F31" s="581">
        <v>0.57350000000000001</v>
      </c>
      <c r="G31" s="581">
        <v>1.8947000000000001</v>
      </c>
      <c r="H31" s="581">
        <v>2.7065000000000001</v>
      </c>
    </row>
    <row r="32" spans="1:8">
      <c r="A32" s="581">
        <v>26</v>
      </c>
      <c r="B32" s="581" t="s">
        <v>1545</v>
      </c>
      <c r="C32" s="581">
        <v>1.5630999999999999</v>
      </c>
      <c r="D32" s="581">
        <v>0.12659999999999999</v>
      </c>
      <c r="E32" s="581">
        <v>2.5059999999999998</v>
      </c>
      <c r="F32" s="581">
        <v>0.60529999999999995</v>
      </c>
      <c r="G32" s="581">
        <v>1.8341000000000001</v>
      </c>
      <c r="H32" s="581">
        <v>1.839</v>
      </c>
    </row>
    <row r="33" spans="1:8">
      <c r="A33" s="581">
        <v>27</v>
      </c>
      <c r="B33" s="581" t="s">
        <v>1546</v>
      </c>
      <c r="C33" s="581">
        <v>1.4985999999999999</v>
      </c>
      <c r="D33" s="581">
        <v>0.187</v>
      </c>
      <c r="E33" s="581">
        <v>3.0491999999999999</v>
      </c>
      <c r="F33" s="581">
        <v>0.93899999999999995</v>
      </c>
      <c r="G33" s="581">
        <v>1.4975000000000001</v>
      </c>
      <c r="H33" s="581">
        <v>1.8331999999999999</v>
      </c>
    </row>
    <row r="34" spans="1:8">
      <c r="A34" s="581">
        <v>28</v>
      </c>
      <c r="B34" s="581" t="s">
        <v>1547</v>
      </c>
      <c r="C34" s="581">
        <v>1.4557</v>
      </c>
      <c r="D34" s="581">
        <v>0.2039</v>
      </c>
      <c r="E34" s="581">
        <v>6.6205999999999996</v>
      </c>
      <c r="F34" s="581">
        <v>0.93969999999999998</v>
      </c>
      <c r="G34" s="581">
        <v>1.3514999999999999</v>
      </c>
      <c r="H34" s="581">
        <v>1.2471000000000001</v>
      </c>
    </row>
    <row r="35" spans="1:8">
      <c r="A35" s="581">
        <v>29</v>
      </c>
      <c r="B35" s="581" t="s">
        <v>1548</v>
      </c>
      <c r="C35" s="581">
        <v>1.6082000000000001</v>
      </c>
      <c r="D35" s="581">
        <v>0.1183</v>
      </c>
      <c r="E35" s="581">
        <v>2.2667999999999999</v>
      </c>
      <c r="F35" s="581">
        <v>0.63370000000000004</v>
      </c>
      <c r="G35" s="581">
        <v>1.8888</v>
      </c>
      <c r="H35" s="581">
        <v>2.1453000000000002</v>
      </c>
    </row>
    <row r="36" spans="1:8">
      <c r="A36" s="581">
        <v>30</v>
      </c>
      <c r="B36" s="581" t="s">
        <v>1549</v>
      </c>
      <c r="C36" s="581">
        <v>1.7077</v>
      </c>
      <c r="D36" s="581">
        <v>0.16289999999999999</v>
      </c>
      <c r="E36" s="581">
        <v>2.7523</v>
      </c>
      <c r="F36" s="581">
        <v>0.76719999999999999</v>
      </c>
      <c r="G36" s="581">
        <v>1.8274999999999999</v>
      </c>
      <c r="H36" s="581">
        <v>2.2732999999999999</v>
      </c>
    </row>
    <row r="37" spans="1:8">
      <c r="A37" s="581">
        <v>31</v>
      </c>
      <c r="B37" s="581" t="s">
        <v>1550</v>
      </c>
      <c r="C37" s="581">
        <v>1.4906999999999999</v>
      </c>
      <c r="D37" s="581">
        <v>0.10630000000000001</v>
      </c>
      <c r="E37" s="581">
        <v>1.7428999999999999</v>
      </c>
      <c r="F37" s="581">
        <v>0.62070000000000003</v>
      </c>
      <c r="G37" s="581">
        <v>2.1158000000000001</v>
      </c>
      <c r="H37" s="581">
        <v>3.3111999999999999</v>
      </c>
    </row>
    <row r="38" spans="1:8">
      <c r="A38" s="581">
        <v>32</v>
      </c>
      <c r="B38" s="581" t="s">
        <v>1551</v>
      </c>
      <c r="C38" s="581">
        <v>1.7210000000000001</v>
      </c>
      <c r="D38" s="581">
        <v>0.1885</v>
      </c>
      <c r="E38" s="581">
        <v>4.0530999999999997</v>
      </c>
      <c r="F38" s="581">
        <v>0.79020000000000001</v>
      </c>
      <c r="G38" s="581">
        <v>1.6842999999999999</v>
      </c>
      <c r="H38" s="581">
        <v>1.7601</v>
      </c>
    </row>
    <row r="39" spans="1:8">
      <c r="A39" s="581">
        <v>33</v>
      </c>
      <c r="B39" s="581" t="s">
        <v>1552</v>
      </c>
      <c r="C39" s="581">
        <v>1.6591</v>
      </c>
      <c r="D39" s="581">
        <v>0.32300000000000001</v>
      </c>
      <c r="E39" s="581">
        <v>12.2111</v>
      </c>
      <c r="F39" s="581">
        <v>0.8609</v>
      </c>
      <c r="G39" s="581">
        <v>1.2475000000000001</v>
      </c>
      <c r="H39" s="581">
        <v>1.1386000000000001</v>
      </c>
    </row>
    <row r="40" spans="1:8">
      <c r="A40" s="581">
        <v>34</v>
      </c>
      <c r="B40" s="581" t="s">
        <v>1553</v>
      </c>
      <c r="C40" s="581">
        <v>1.4537</v>
      </c>
      <c r="D40" s="581">
        <v>0.1341</v>
      </c>
      <c r="E40" s="581">
        <v>2.0907</v>
      </c>
      <c r="F40" s="581">
        <v>0.73750000000000004</v>
      </c>
      <c r="G40" s="581">
        <v>1.6693</v>
      </c>
      <c r="H40" s="581">
        <v>2.3860000000000001</v>
      </c>
    </row>
    <row r="41" spans="1:8">
      <c r="A41" s="581">
        <v>35</v>
      </c>
      <c r="B41" s="581" t="s">
        <v>1554</v>
      </c>
      <c r="C41" s="581">
        <v>1.5141</v>
      </c>
      <c r="D41" s="581">
        <v>0.25929999999999997</v>
      </c>
      <c r="E41" s="581">
        <v>5.5185000000000004</v>
      </c>
      <c r="F41" s="581">
        <v>0.96179999999999999</v>
      </c>
      <c r="G41" s="581">
        <v>1.3181</v>
      </c>
      <c r="H41" s="581">
        <v>1.3825000000000001</v>
      </c>
    </row>
    <row r="42" spans="1:8">
      <c r="A42" s="581">
        <v>36</v>
      </c>
      <c r="B42" s="581" t="s">
        <v>1555</v>
      </c>
      <c r="C42" s="581">
        <v>1.4735</v>
      </c>
      <c r="D42" s="581">
        <v>0.21210000000000001</v>
      </c>
      <c r="E42" s="581">
        <v>4.9892000000000003</v>
      </c>
      <c r="F42" s="581">
        <v>0.97440000000000004</v>
      </c>
      <c r="G42" s="581">
        <v>1.3627</v>
      </c>
      <c r="H42" s="581">
        <v>1.3991</v>
      </c>
    </row>
    <row r="43" spans="1:8">
      <c r="A43" s="581">
        <v>37</v>
      </c>
      <c r="B43" s="581" t="s">
        <v>1556</v>
      </c>
      <c r="C43" s="581">
        <v>1.6882999999999999</v>
      </c>
      <c r="D43" s="581">
        <v>0.15989999999999999</v>
      </c>
      <c r="E43" s="581">
        <v>2.9674999999999998</v>
      </c>
      <c r="F43" s="581">
        <v>0.8246</v>
      </c>
      <c r="G43" s="581">
        <v>2.0868000000000002</v>
      </c>
      <c r="H43" s="581">
        <v>2.6368</v>
      </c>
    </row>
    <row r="44" spans="1:8">
      <c r="A44" s="581">
        <v>38</v>
      </c>
      <c r="B44" s="581" t="s">
        <v>1557</v>
      </c>
      <c r="C44" s="581">
        <v>1.3092999999999999</v>
      </c>
      <c r="D44" s="581">
        <v>0.1056</v>
      </c>
      <c r="E44" s="581">
        <v>2.8852000000000002</v>
      </c>
      <c r="F44" s="581">
        <v>0.78220000000000001</v>
      </c>
      <c r="G44" s="581">
        <v>1.5362</v>
      </c>
      <c r="H44" s="581">
        <v>1.4489000000000001</v>
      </c>
    </row>
    <row r="45" spans="1:8">
      <c r="A45" s="581">
        <v>39</v>
      </c>
      <c r="B45" s="581" t="s">
        <v>1558</v>
      </c>
      <c r="C45" s="581">
        <v>1.2573000000000001</v>
      </c>
      <c r="D45" s="581">
        <v>0.18709999999999999</v>
      </c>
      <c r="E45" s="581">
        <v>2.1806999999999999</v>
      </c>
      <c r="F45" s="581">
        <v>0.59340000000000004</v>
      </c>
      <c r="G45" s="581">
        <v>1.2000999999999999</v>
      </c>
      <c r="H45" s="581">
        <v>1.569</v>
      </c>
    </row>
    <row r="46" spans="1:8">
      <c r="A46" s="581">
        <v>40</v>
      </c>
      <c r="B46" s="581" t="s">
        <v>1559</v>
      </c>
      <c r="C46" s="581">
        <v>1.4504999999999999</v>
      </c>
      <c r="D46" s="581">
        <v>9.5399999999999999E-2</v>
      </c>
      <c r="E46" s="581">
        <v>1.6220000000000001</v>
      </c>
      <c r="F46" s="581">
        <v>0.80820000000000003</v>
      </c>
      <c r="G46" s="581">
        <v>1.954</v>
      </c>
      <c r="H46" s="581">
        <v>2.6294</v>
      </c>
    </row>
    <row r="47" spans="1:8">
      <c r="A47" s="581">
        <v>41</v>
      </c>
      <c r="B47" s="581" t="s">
        <v>1560</v>
      </c>
      <c r="C47" s="581">
        <v>1.5854999999999999</v>
      </c>
      <c r="D47" s="581">
        <v>0.15429999999999999</v>
      </c>
      <c r="E47" s="581">
        <v>2.6368</v>
      </c>
      <c r="F47" s="581">
        <v>0.81559999999999999</v>
      </c>
      <c r="G47" s="581">
        <v>1.823</v>
      </c>
      <c r="H47" s="581">
        <v>2.5958999999999999</v>
      </c>
    </row>
    <row r="48" spans="1:8">
      <c r="A48" s="581">
        <v>42</v>
      </c>
      <c r="B48" s="581" t="s">
        <v>1561</v>
      </c>
      <c r="C48" s="581">
        <v>1.6283000000000001</v>
      </c>
      <c r="D48" s="581">
        <v>0.13789999999999999</v>
      </c>
      <c r="E48" s="581">
        <v>2.6160000000000001</v>
      </c>
      <c r="F48" s="581">
        <v>0.85650000000000004</v>
      </c>
      <c r="G48" s="581">
        <v>2.1452</v>
      </c>
      <c r="H48" s="581">
        <v>2.6695000000000002</v>
      </c>
    </row>
    <row r="49" spans="1:8">
      <c r="A49" s="581">
        <v>43</v>
      </c>
      <c r="B49" s="581" t="s">
        <v>1562</v>
      </c>
      <c r="C49" s="581">
        <v>1.6133999999999999</v>
      </c>
      <c r="D49" s="581">
        <v>0.25790000000000002</v>
      </c>
      <c r="E49" s="581">
        <v>4.1776999999999997</v>
      </c>
      <c r="F49" s="581">
        <v>0.89170000000000005</v>
      </c>
      <c r="G49" s="581">
        <v>1.3934</v>
      </c>
      <c r="H49" s="581">
        <v>1.6492</v>
      </c>
    </row>
    <row r="50" spans="1:8">
      <c r="A50" s="581">
        <v>44</v>
      </c>
      <c r="B50" s="581" t="s">
        <v>1563</v>
      </c>
      <c r="C50" s="581">
        <v>1.4602999999999999</v>
      </c>
      <c r="D50" s="581">
        <v>0.15049999999999999</v>
      </c>
      <c r="E50" s="581">
        <v>2.3546</v>
      </c>
      <c r="F50" s="581">
        <v>0.95220000000000005</v>
      </c>
      <c r="G50" s="581">
        <v>1.5209999999999999</v>
      </c>
      <c r="H50" s="581">
        <v>1.7992999999999999</v>
      </c>
    </row>
    <row r="51" spans="1:8">
      <c r="A51" s="581">
        <v>45</v>
      </c>
      <c r="B51" s="581" t="s">
        <v>1564</v>
      </c>
      <c r="C51" s="581">
        <v>1.5401</v>
      </c>
      <c r="D51" s="581">
        <v>0.14330000000000001</v>
      </c>
      <c r="E51" s="581">
        <v>2.0686</v>
      </c>
      <c r="F51" s="581">
        <v>0.74809999999999999</v>
      </c>
      <c r="G51" s="581">
        <v>1.9661</v>
      </c>
      <c r="H51" s="581">
        <v>2.8081999999999998</v>
      </c>
    </row>
    <row r="52" spans="1:8">
      <c r="A52" s="581">
        <v>46</v>
      </c>
      <c r="B52" s="581" t="s">
        <v>1565</v>
      </c>
      <c r="C52" s="581">
        <v>1.4060999999999999</v>
      </c>
      <c r="D52" s="581">
        <v>6.3799999999999996E-2</v>
      </c>
      <c r="E52" s="581">
        <v>3.0345</v>
      </c>
      <c r="F52" s="581">
        <v>0.9234</v>
      </c>
      <c r="G52" s="581">
        <v>2.7153999999999998</v>
      </c>
      <c r="H52" s="581">
        <v>1.4557</v>
      </c>
    </row>
    <row r="53" spans="1:8">
      <c r="A53" s="581">
        <v>47</v>
      </c>
      <c r="B53" s="581" t="s">
        <v>1566</v>
      </c>
      <c r="C53" s="581">
        <v>1.5767</v>
      </c>
      <c r="D53" s="581">
        <v>0.1452</v>
      </c>
      <c r="E53" s="581">
        <v>2.6311</v>
      </c>
      <c r="F53" s="581">
        <v>0.98560000000000003</v>
      </c>
      <c r="G53" s="581">
        <v>1.9281999999999999</v>
      </c>
      <c r="H53" s="581">
        <v>2.3081</v>
      </c>
    </row>
    <row r="54" spans="1:8">
      <c r="A54" s="581">
        <v>48</v>
      </c>
      <c r="B54" s="581" t="s">
        <v>1567</v>
      </c>
      <c r="C54" s="581">
        <v>1.5425</v>
      </c>
      <c r="D54" s="581">
        <v>0.23719999999999999</v>
      </c>
      <c r="E54" s="581">
        <v>4.0571999999999999</v>
      </c>
      <c r="F54" s="581">
        <v>0.99119999999999997</v>
      </c>
      <c r="G54" s="581">
        <v>1.3946000000000001</v>
      </c>
      <c r="H54" s="581">
        <v>1.6696</v>
      </c>
    </row>
    <row r="55" spans="1:8">
      <c r="A55" s="581">
        <v>49</v>
      </c>
      <c r="B55" s="581" t="s">
        <v>1568</v>
      </c>
      <c r="C55" s="581">
        <v>1.5013000000000001</v>
      </c>
      <c r="D55" s="581">
        <v>0.22889999999999999</v>
      </c>
      <c r="E55" s="581">
        <v>2.7844000000000002</v>
      </c>
      <c r="F55" s="581">
        <v>0.94210000000000005</v>
      </c>
      <c r="G55" s="581">
        <v>1.361</v>
      </c>
      <c r="H55" s="581">
        <v>1.9996</v>
      </c>
    </row>
    <row r="56" spans="1:8">
      <c r="A56" s="581">
        <v>50</v>
      </c>
      <c r="B56" s="581" t="s">
        <v>1569</v>
      </c>
      <c r="C56" s="581">
        <v>1.5361</v>
      </c>
      <c r="D56" s="581">
        <v>0.23860000000000001</v>
      </c>
      <c r="E56" s="581">
        <v>8.1952999999999996</v>
      </c>
      <c r="F56" s="581">
        <v>0.93289999999999995</v>
      </c>
      <c r="G56" s="581">
        <v>1.3425</v>
      </c>
      <c r="H56" s="581">
        <v>1.2232000000000001</v>
      </c>
    </row>
    <row r="57" spans="1:8">
      <c r="A57" s="581">
        <v>51</v>
      </c>
      <c r="B57" s="581" t="s">
        <v>1570</v>
      </c>
      <c r="C57" s="581">
        <v>1.7559</v>
      </c>
      <c r="D57" s="581">
        <v>0.36520000000000002</v>
      </c>
      <c r="E57" s="581">
        <v>6.8243999999999998</v>
      </c>
      <c r="F57" s="581">
        <v>0.94310000000000005</v>
      </c>
      <c r="G57" s="581">
        <v>1.4166000000000001</v>
      </c>
      <c r="H57" s="581">
        <v>1.5456000000000001</v>
      </c>
    </row>
    <row r="58" spans="1:8">
      <c r="A58" s="581">
        <v>52</v>
      </c>
      <c r="B58" s="581" t="s">
        <v>1571</v>
      </c>
      <c r="C58" s="581">
        <v>1.5612999999999999</v>
      </c>
      <c r="D58" s="581">
        <v>0.36120000000000002</v>
      </c>
      <c r="E58" s="581">
        <v>12.0016</v>
      </c>
      <c r="F58" s="581">
        <v>0.9788</v>
      </c>
      <c r="G58" s="581">
        <v>1.2204999999999999</v>
      </c>
      <c r="H58" s="581">
        <v>1.1662999999999999</v>
      </c>
    </row>
    <row r="59" spans="1:8">
      <c r="A59" s="581">
        <v>53</v>
      </c>
      <c r="B59" s="581" t="s">
        <v>1572</v>
      </c>
      <c r="C59" s="581">
        <v>1.5833999999999999</v>
      </c>
      <c r="D59" s="581">
        <v>0.29370000000000002</v>
      </c>
      <c r="E59" s="581">
        <v>5.5109000000000004</v>
      </c>
      <c r="F59" s="581">
        <v>0.97470000000000001</v>
      </c>
      <c r="G59" s="581">
        <v>1.3234999999999999</v>
      </c>
      <c r="H59" s="581">
        <v>1.4591000000000001</v>
      </c>
    </row>
    <row r="60" spans="1:8">
      <c r="A60" s="581">
        <v>54</v>
      </c>
      <c r="B60" s="581" t="s">
        <v>1573</v>
      </c>
      <c r="C60" s="581">
        <v>1.635</v>
      </c>
      <c r="D60" s="581">
        <v>0.26769999999999999</v>
      </c>
      <c r="E60" s="581">
        <v>5.335</v>
      </c>
      <c r="F60" s="581">
        <v>0.90969999999999995</v>
      </c>
      <c r="G60" s="581">
        <v>1.3681000000000001</v>
      </c>
      <c r="H60" s="581">
        <v>1.5014000000000001</v>
      </c>
    </row>
    <row r="61" spans="1:8">
      <c r="A61" s="581">
        <v>55</v>
      </c>
      <c r="B61" s="581" t="s">
        <v>1574</v>
      </c>
      <c r="C61" s="581">
        <v>1.5707</v>
      </c>
      <c r="D61" s="581">
        <v>0.36359999999999998</v>
      </c>
      <c r="E61" s="581">
        <v>10.8748</v>
      </c>
      <c r="F61" s="581">
        <v>1.0074000000000001</v>
      </c>
      <c r="G61" s="581">
        <v>1.2285999999999999</v>
      </c>
      <c r="H61" s="581">
        <v>1.1921999999999999</v>
      </c>
    </row>
    <row r="62" spans="1:8">
      <c r="A62" s="581">
        <v>56</v>
      </c>
      <c r="B62" s="581" t="s">
        <v>1575</v>
      </c>
      <c r="C62" s="581">
        <v>1.6075999999999999</v>
      </c>
      <c r="D62" s="581">
        <v>0.36420000000000002</v>
      </c>
      <c r="E62" s="581">
        <v>15.194900000000001</v>
      </c>
      <c r="F62" s="581">
        <v>0.99239999999999995</v>
      </c>
      <c r="G62" s="581">
        <v>1.2470000000000001</v>
      </c>
      <c r="H62" s="581">
        <v>1.1404000000000001</v>
      </c>
    </row>
    <row r="63" spans="1:8">
      <c r="A63" s="581">
        <v>57</v>
      </c>
      <c r="B63" s="581" t="s">
        <v>1576</v>
      </c>
      <c r="C63" s="581">
        <v>1.6739999999999999</v>
      </c>
      <c r="D63" s="581">
        <v>0.23780000000000001</v>
      </c>
      <c r="E63" s="581">
        <v>7.7698</v>
      </c>
      <c r="F63" s="581">
        <v>1.0071000000000001</v>
      </c>
      <c r="G63" s="581">
        <v>1.5996999999999999</v>
      </c>
      <c r="H63" s="581">
        <v>1.4496</v>
      </c>
    </row>
    <row r="64" spans="1:8">
      <c r="A64" s="581">
        <v>58</v>
      </c>
      <c r="B64" s="581" t="s">
        <v>1577</v>
      </c>
      <c r="C64" s="581">
        <v>1.4824999999999999</v>
      </c>
      <c r="D64" s="581">
        <v>0.22509999999999999</v>
      </c>
      <c r="E64" s="581">
        <v>10.272399999999999</v>
      </c>
      <c r="F64" s="581">
        <v>0.93459999999999999</v>
      </c>
      <c r="G64" s="581">
        <v>1.3269</v>
      </c>
      <c r="H64" s="581">
        <v>1.153</v>
      </c>
    </row>
    <row r="65" spans="1:8">
      <c r="A65" s="581">
        <v>59</v>
      </c>
      <c r="B65" s="581" t="s">
        <v>1578</v>
      </c>
      <c r="C65" s="581">
        <v>1.5636000000000001</v>
      </c>
      <c r="D65" s="581">
        <v>0.17979999999999999</v>
      </c>
      <c r="E65" s="581">
        <v>4.5648</v>
      </c>
      <c r="F65" s="581">
        <v>0.87360000000000004</v>
      </c>
      <c r="G65" s="581">
        <v>1.6426000000000001</v>
      </c>
      <c r="H65" s="581">
        <v>1.5398000000000001</v>
      </c>
    </row>
    <row r="66" spans="1:8">
      <c r="A66" s="581">
        <v>60</v>
      </c>
      <c r="B66" s="581" t="s">
        <v>1579</v>
      </c>
      <c r="C66" s="581">
        <v>1.5322</v>
      </c>
      <c r="D66" s="581">
        <v>0.24099999999999999</v>
      </c>
      <c r="E66" s="581">
        <v>11.1532</v>
      </c>
      <c r="F66" s="581">
        <v>0.84519999999999995</v>
      </c>
      <c r="G66" s="581">
        <v>1.3402000000000001</v>
      </c>
      <c r="H66" s="581">
        <v>1.1487000000000001</v>
      </c>
    </row>
    <row r="67" spans="1:8">
      <c r="A67" s="581">
        <v>61</v>
      </c>
      <c r="B67" s="581" t="s">
        <v>1580</v>
      </c>
      <c r="C67" s="581">
        <v>1.6507000000000001</v>
      </c>
      <c r="D67" s="581">
        <v>0.29449999999999998</v>
      </c>
      <c r="E67" s="581">
        <v>7.3827999999999996</v>
      </c>
      <c r="F67" s="581">
        <v>0.92889999999999995</v>
      </c>
      <c r="G67" s="581">
        <v>1.3622000000000001</v>
      </c>
      <c r="H67" s="581">
        <v>1.3464</v>
      </c>
    </row>
    <row r="68" spans="1:8">
      <c r="A68" s="581">
        <v>62</v>
      </c>
      <c r="B68" s="581" t="s">
        <v>1581</v>
      </c>
      <c r="C68" s="581">
        <v>0.89239999999999997</v>
      </c>
      <c r="D68" s="581">
        <v>0.1124</v>
      </c>
      <c r="E68" s="581">
        <v>3.1417999999999999</v>
      </c>
      <c r="F68" s="581">
        <v>0.52710000000000001</v>
      </c>
      <c r="G68" s="581">
        <v>0</v>
      </c>
      <c r="H68" s="581">
        <v>0</v>
      </c>
    </row>
    <row r="70" spans="1:8">
      <c r="C70" s="581">
        <f>SUM(C6:C68)</f>
        <v>93.849000000000018</v>
      </c>
      <c r="D70" s="581">
        <f t="shared" ref="D70:H70" si="0">SUM(D6:D68)</f>
        <v>11.387799999999997</v>
      </c>
      <c r="E70" s="581">
        <f t="shared" si="0"/>
        <v>287.66649999999998</v>
      </c>
      <c r="F70" s="581">
        <f t="shared" si="0"/>
        <v>47.127599999999987</v>
      </c>
      <c r="G70" s="581">
        <f t="shared" si="0"/>
        <v>98.801000000000002</v>
      </c>
      <c r="H70" s="581">
        <f t="shared" si="0"/>
        <v>108.55610000000001</v>
      </c>
    </row>
    <row r="71" spans="1:8">
      <c r="C71" s="581">
        <f>C70-SUM(union!B2:B63)</f>
        <v>1.4992000000000303</v>
      </c>
      <c r="D71" s="581">
        <f>D70-SUM(union!C2:C63)</f>
        <v>-0.33230000000000537</v>
      </c>
      <c r="E71" s="581">
        <f>E70-SUM(union!D2:D63)</f>
        <v>-13.379199999999969</v>
      </c>
      <c r="F71" s="581">
        <f>F70-SUM(union!E2:E63)</f>
        <v>-1.6006000000000071</v>
      </c>
      <c r="G71" s="581">
        <f>G70-SUM(union!F2:F63)</f>
        <v>1.8665999999999627</v>
      </c>
      <c r="H71" s="581">
        <f>H70-SUM(union!G2:G63)</f>
        <v>5.7042000000000286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sheetPr codeName="Sheet47">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1.3744000000000001</v>
      </c>
      <c r="C2">
        <v>0.35560000000000003</v>
      </c>
      <c r="D2">
        <v>17.1797</v>
      </c>
      <c r="E2">
        <v>0.62970000000000004</v>
      </c>
      <c r="F2">
        <v>1.302</v>
      </c>
      <c r="G2">
        <v>1.1704000000000001</v>
      </c>
    </row>
    <row r="3" spans="1:87">
      <c r="A3" s="581" t="s">
        <v>1521</v>
      </c>
      <c r="B3">
        <v>1.2353000000000001</v>
      </c>
      <c r="C3">
        <v>0.25169999999999998</v>
      </c>
      <c r="D3">
        <v>11.7119</v>
      </c>
      <c r="E3">
        <v>0.75090000000000001</v>
      </c>
      <c r="F3">
        <v>1.2842</v>
      </c>
      <c r="G3">
        <v>1.1598999999999999</v>
      </c>
    </row>
    <row r="4" spans="1:87">
      <c r="A4" s="581" t="s">
        <v>1522</v>
      </c>
      <c r="B4">
        <v>1</v>
      </c>
      <c r="C4">
        <v>0</v>
      </c>
      <c r="D4">
        <v>0</v>
      </c>
      <c r="E4">
        <v>0</v>
      </c>
      <c r="F4">
        <v>0</v>
      </c>
      <c r="G4">
        <v>0</v>
      </c>
      <c r="N4" s="17"/>
      <c r="U4" s="21"/>
      <c r="X4" s="21"/>
    </row>
    <row r="5" spans="1:87">
      <c r="A5" s="581" t="s">
        <v>1523</v>
      </c>
      <c r="B5">
        <v>1.3019000000000001</v>
      </c>
      <c r="C5">
        <v>0.33910000000000001</v>
      </c>
      <c r="D5">
        <v>6.6744000000000003</v>
      </c>
      <c r="E5">
        <v>0.76349999999999996</v>
      </c>
      <c r="F5">
        <v>1.2513000000000001</v>
      </c>
      <c r="G5">
        <v>1.3643000000000001</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1.3144</v>
      </c>
      <c r="C6">
        <v>0.17530000000000001</v>
      </c>
      <c r="D6">
        <v>4.0335000000000001</v>
      </c>
      <c r="E6">
        <v>0.6028</v>
      </c>
      <c r="F6">
        <v>1.7672000000000001</v>
      </c>
      <c r="G6">
        <v>1.7395</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1.1552</v>
      </c>
      <c r="C7">
        <v>0.16569999999999999</v>
      </c>
      <c r="D7">
        <v>2.2370000000000001</v>
      </c>
      <c r="E7">
        <v>0.78900000000000003</v>
      </c>
      <c r="F7">
        <v>1.2817000000000001</v>
      </c>
      <c r="G7">
        <v>1.7851999999999999</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1.4538</v>
      </c>
      <c r="C8">
        <v>0.38990000000000002</v>
      </c>
      <c r="D8">
        <v>8.2584</v>
      </c>
      <c r="E8">
        <v>0.79259999999999997</v>
      </c>
      <c r="F8">
        <v>1.3594999999999999</v>
      </c>
      <c r="G8">
        <v>1.4956</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1.3756999999999999</v>
      </c>
      <c r="C9">
        <v>0.26550000000000001</v>
      </c>
      <c r="D9">
        <v>6.9535</v>
      </c>
      <c r="E9">
        <v>0.55410000000000004</v>
      </c>
      <c r="F9">
        <v>1.4635</v>
      </c>
      <c r="G9">
        <v>1.44</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1.3148</v>
      </c>
      <c r="C10">
        <v>0.18579999999999999</v>
      </c>
      <c r="D10">
        <v>3.9838</v>
      </c>
      <c r="E10">
        <v>0.57730000000000004</v>
      </c>
      <c r="F10">
        <v>1.5949</v>
      </c>
      <c r="G10">
        <v>1.7025999999999999</v>
      </c>
      <c r="U10" s="13"/>
      <c r="V10" s="23"/>
      <c r="W10" s="26"/>
      <c r="Y10" s="11"/>
      <c r="AM10" s="12"/>
      <c r="AV10" s="12"/>
      <c r="BE10" s="12"/>
      <c r="BN10" s="12"/>
      <c r="BW10" s="12"/>
      <c r="CF10" s="12"/>
    </row>
    <row r="11" spans="1:87">
      <c r="A11" s="581" t="s">
        <v>1529</v>
      </c>
      <c r="B11">
        <v>1</v>
      </c>
      <c r="C11">
        <v>0</v>
      </c>
      <c r="D11">
        <v>0</v>
      </c>
      <c r="E11">
        <v>0</v>
      </c>
      <c r="F11">
        <v>0</v>
      </c>
      <c r="G11">
        <v>0</v>
      </c>
      <c r="U11" s="13"/>
      <c r="V11" s="23"/>
      <c r="Y11" s="11"/>
      <c r="AM11" s="12"/>
      <c r="AP11" s="12"/>
      <c r="AV11" s="12"/>
      <c r="AY11" s="12"/>
      <c r="BE11" s="12"/>
      <c r="BH11" s="12"/>
      <c r="BN11" s="12"/>
      <c r="BQ11" s="12"/>
      <c r="BW11" s="12"/>
      <c r="BZ11" s="12"/>
      <c r="CF11" s="12"/>
      <c r="CI11" s="12"/>
    </row>
    <row r="12" spans="1:87">
      <c r="A12" s="581" t="s">
        <v>1530</v>
      </c>
      <c r="B12">
        <v>1.2582</v>
      </c>
      <c r="C12">
        <v>0.1842</v>
      </c>
      <c r="D12">
        <v>3.6714000000000002</v>
      </c>
      <c r="E12">
        <v>0.59389999999999998</v>
      </c>
      <c r="F12">
        <v>1.4663999999999999</v>
      </c>
      <c r="G12">
        <v>1.6547000000000001</v>
      </c>
      <c r="N12" s="15"/>
      <c r="U12" s="13"/>
      <c r="V12" s="23"/>
      <c r="Y12" s="11"/>
      <c r="AM12" s="12"/>
      <c r="AV12" s="12"/>
      <c r="BE12" s="12"/>
      <c r="BN12" s="12"/>
      <c r="BW12" s="12"/>
      <c r="CF12" s="12"/>
    </row>
    <row r="13" spans="1:87">
      <c r="A13" s="581" t="s">
        <v>1531</v>
      </c>
      <c r="B13">
        <v>1.3096000000000001</v>
      </c>
      <c r="C13">
        <v>0.29370000000000002</v>
      </c>
      <c r="D13">
        <v>4.7948000000000004</v>
      </c>
      <c r="E13">
        <v>0.6462</v>
      </c>
      <c r="F13">
        <v>1.3255999999999999</v>
      </c>
      <c r="G13">
        <v>1.5975999999999999</v>
      </c>
      <c r="N13" s="16"/>
      <c r="U13" s="13"/>
      <c r="V13" s="23"/>
      <c r="Y13" s="11"/>
      <c r="AM13" s="12"/>
      <c r="AV13" s="12"/>
      <c r="BE13" s="12"/>
      <c r="BN13" s="12"/>
      <c r="BW13" s="12"/>
      <c r="CF13" s="12"/>
    </row>
    <row r="14" spans="1:87">
      <c r="A14" s="581" t="s">
        <v>1532</v>
      </c>
      <c r="B14">
        <v>1.2857000000000001</v>
      </c>
      <c r="C14">
        <v>0.32700000000000001</v>
      </c>
      <c r="D14">
        <v>5.1208</v>
      </c>
      <c r="E14">
        <v>0.88300000000000001</v>
      </c>
      <c r="F14">
        <v>1.2673000000000001</v>
      </c>
      <c r="G14">
        <v>1.536</v>
      </c>
      <c r="N14" s="16"/>
      <c r="U14" s="13"/>
      <c r="V14" s="23"/>
      <c r="Y14" s="11"/>
      <c r="AM14" s="12"/>
      <c r="AV14" s="12"/>
      <c r="BE14" s="12"/>
      <c r="BN14" s="12"/>
      <c r="BW14" s="12"/>
      <c r="CF14" s="12"/>
    </row>
    <row r="15" spans="1:87">
      <c r="A15" s="581" t="s">
        <v>1533</v>
      </c>
      <c r="B15">
        <v>1</v>
      </c>
      <c r="C15">
        <v>0</v>
      </c>
      <c r="D15">
        <v>0</v>
      </c>
      <c r="E15">
        <v>0</v>
      </c>
      <c r="F15">
        <v>0</v>
      </c>
      <c r="G15">
        <v>0</v>
      </c>
      <c r="N15" s="15"/>
      <c r="U15" s="13"/>
      <c r="V15" s="23"/>
      <c r="Y15" s="11"/>
      <c r="AM15" s="12"/>
      <c r="AV15" s="12"/>
    </row>
    <row r="16" spans="1:87">
      <c r="A16" s="581" t="s">
        <v>1534</v>
      </c>
      <c r="B16">
        <v>1</v>
      </c>
      <c r="C16">
        <v>0</v>
      </c>
      <c r="D16">
        <v>0</v>
      </c>
      <c r="E16">
        <v>0</v>
      </c>
      <c r="F16">
        <v>0</v>
      </c>
      <c r="G16">
        <v>0</v>
      </c>
      <c r="U16" s="13"/>
      <c r="V16" s="23"/>
      <c r="Y16" s="11"/>
      <c r="AM16" s="12"/>
      <c r="AV16" s="12"/>
      <c r="BE16" s="12"/>
      <c r="BN16" s="12"/>
      <c r="BW16" s="12"/>
      <c r="CF16" s="12"/>
    </row>
    <row r="17" spans="1:87">
      <c r="A17" s="581" t="s">
        <v>1535</v>
      </c>
      <c r="B17">
        <v>1.2703</v>
      </c>
      <c r="C17">
        <v>0.20619999999999999</v>
      </c>
      <c r="D17">
        <v>5.4715999999999996</v>
      </c>
      <c r="E17">
        <v>0.47399999999999998</v>
      </c>
      <c r="F17">
        <v>1.4084000000000001</v>
      </c>
      <c r="G17">
        <v>1.4034</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1.3525</v>
      </c>
      <c r="C18">
        <v>0.3473</v>
      </c>
      <c r="D18">
        <v>7.0631000000000004</v>
      </c>
      <c r="E18">
        <v>0.71699999999999997</v>
      </c>
      <c r="F18">
        <v>1.2950999999999999</v>
      </c>
      <c r="G18">
        <v>1.4253</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1.2717000000000001</v>
      </c>
      <c r="C19">
        <v>0.23719999999999999</v>
      </c>
      <c r="D19">
        <v>4.008</v>
      </c>
      <c r="E19">
        <v>0.74339999999999995</v>
      </c>
      <c r="F19">
        <v>1.3512</v>
      </c>
      <c r="G19">
        <v>1.6543000000000001</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1.3625</v>
      </c>
      <c r="C20">
        <v>0.19600000000000001</v>
      </c>
      <c r="D20">
        <v>4.6059000000000001</v>
      </c>
      <c r="E20">
        <v>0.46989999999999998</v>
      </c>
      <c r="F20">
        <v>1.7575000000000001</v>
      </c>
      <c r="G20">
        <v>1.8511</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1.3071999999999999</v>
      </c>
      <c r="C21">
        <v>0.17530000000000001</v>
      </c>
      <c r="D21">
        <v>4.2569999999999997</v>
      </c>
      <c r="E21">
        <v>0.48270000000000002</v>
      </c>
      <c r="F21">
        <v>1.5636000000000001</v>
      </c>
      <c r="G21">
        <v>1.5354000000000001</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1.3852</v>
      </c>
      <c r="C22">
        <v>0.34560000000000002</v>
      </c>
      <c r="D22">
        <v>9.4207999999999998</v>
      </c>
      <c r="E22">
        <v>0.88690000000000002</v>
      </c>
      <c r="F22">
        <v>1.3120000000000001</v>
      </c>
      <c r="G22">
        <v>1.2855000000000001</v>
      </c>
      <c r="K22" s="17"/>
      <c r="L22" s="17"/>
      <c r="M22" s="17"/>
      <c r="N22" s="17"/>
      <c r="O22" s="17"/>
      <c r="P22" s="17"/>
      <c r="U22" s="13"/>
      <c r="V22" s="23"/>
      <c r="Y22" s="11"/>
      <c r="AM22" s="12"/>
      <c r="AV22" s="12"/>
      <c r="BE22" s="12"/>
      <c r="BN22" s="12"/>
      <c r="BW22" s="12"/>
      <c r="CF22" s="12"/>
    </row>
    <row r="23" spans="1:87">
      <c r="A23" s="581" t="s">
        <v>1541</v>
      </c>
      <c r="B23">
        <v>1</v>
      </c>
      <c r="C23">
        <v>0</v>
      </c>
      <c r="D23">
        <v>0</v>
      </c>
      <c r="E23">
        <v>0</v>
      </c>
      <c r="F23">
        <v>0</v>
      </c>
      <c r="G23">
        <v>0</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1.4217</v>
      </c>
      <c r="C24">
        <v>0.34379999999999999</v>
      </c>
      <c r="D24">
        <v>7.9188000000000001</v>
      </c>
      <c r="E24">
        <v>0.62319999999999998</v>
      </c>
      <c r="F24">
        <v>1.4036999999999999</v>
      </c>
      <c r="G24">
        <v>1.4791000000000001</v>
      </c>
      <c r="K24" s="17"/>
      <c r="L24" s="17"/>
      <c r="M24" s="17"/>
      <c r="N24" s="18"/>
      <c r="O24" s="18"/>
      <c r="P24" s="17"/>
      <c r="R24" s="11"/>
      <c r="U24" s="13"/>
      <c r="V24" s="23"/>
      <c r="Y24" s="11"/>
      <c r="AM24" s="12"/>
      <c r="AV24" s="12"/>
      <c r="BE24" s="12"/>
      <c r="BN24" s="12"/>
      <c r="BW24" s="12"/>
      <c r="CF24" s="12"/>
    </row>
    <row r="25" spans="1:87">
      <c r="A25" s="581" t="s">
        <v>1543</v>
      </c>
      <c r="B25">
        <v>1.0805</v>
      </c>
      <c r="C25">
        <v>6.8199999999999997E-2</v>
      </c>
      <c r="D25">
        <v>0.89029999999999998</v>
      </c>
      <c r="E25">
        <v>0.316</v>
      </c>
      <c r="F25">
        <v>1.3431999999999999</v>
      </c>
      <c r="G25">
        <v>1.9009</v>
      </c>
      <c r="K25" s="17"/>
      <c r="L25" s="17"/>
      <c r="M25" s="17"/>
      <c r="N25" s="18"/>
      <c r="O25" s="17"/>
      <c r="P25" s="17"/>
      <c r="U25" s="13"/>
      <c r="V25" s="23"/>
      <c r="Y25" s="11"/>
      <c r="AM25" s="12"/>
      <c r="AV25" s="12"/>
      <c r="BE25" s="12"/>
      <c r="BN25" s="12"/>
      <c r="BW25" s="12"/>
      <c r="CF25" s="12"/>
    </row>
    <row r="26" spans="1:87">
      <c r="A26" s="581" t="s">
        <v>1544</v>
      </c>
      <c r="B26">
        <v>1.2011000000000001</v>
      </c>
      <c r="C26">
        <v>0.15740000000000001</v>
      </c>
      <c r="D26">
        <v>2.1642999999999999</v>
      </c>
      <c r="E26">
        <v>0.47939999999999999</v>
      </c>
      <c r="F26">
        <v>1.4354</v>
      </c>
      <c r="G26">
        <v>1.9959</v>
      </c>
      <c r="Y26" s="11"/>
      <c r="AM26" s="12"/>
      <c r="AV26" s="12"/>
      <c r="BE26" s="12"/>
      <c r="BN26" s="12"/>
      <c r="BW26" s="12"/>
      <c r="CF26" s="12"/>
    </row>
    <row r="27" spans="1:87">
      <c r="A27" s="581" t="s">
        <v>1545</v>
      </c>
      <c r="B27">
        <v>1.2453000000000001</v>
      </c>
      <c r="C27">
        <v>0.15509999999999999</v>
      </c>
      <c r="D27">
        <v>3.2850000000000001</v>
      </c>
      <c r="E27">
        <v>0.52110000000000001</v>
      </c>
      <c r="F27">
        <v>1.5307999999999999</v>
      </c>
      <c r="G27">
        <v>1.6547000000000001</v>
      </c>
      <c r="M27" s="12"/>
      <c r="Y27" s="11"/>
      <c r="AM27" s="12"/>
      <c r="AV27" s="12"/>
    </row>
    <row r="28" spans="1:87">
      <c r="A28" s="581" t="s">
        <v>1546</v>
      </c>
      <c r="B28">
        <v>1.3573999999999999</v>
      </c>
      <c r="C28">
        <v>0.32350000000000001</v>
      </c>
      <c r="D28">
        <v>5.5369999999999999</v>
      </c>
      <c r="E28">
        <v>0.87239999999999995</v>
      </c>
      <c r="F28">
        <v>1.3548</v>
      </c>
      <c r="G28">
        <v>1.6644000000000001</v>
      </c>
      <c r="M28" s="13"/>
      <c r="N28" s="12"/>
      <c r="O28" s="14"/>
      <c r="Q28" s="12"/>
      <c r="Y28" s="11"/>
      <c r="AM28" s="12"/>
      <c r="AV28" s="12"/>
      <c r="BE28" s="12"/>
      <c r="BN28" s="12"/>
      <c r="BW28" s="12"/>
      <c r="CF28" s="12"/>
    </row>
    <row r="29" spans="1:87">
      <c r="A29" s="581" t="s">
        <v>1547</v>
      </c>
      <c r="B29">
        <v>1.3726</v>
      </c>
      <c r="C29">
        <v>0.32740000000000002</v>
      </c>
      <c r="D29">
        <v>11.0246</v>
      </c>
      <c r="E29">
        <v>0.89570000000000005</v>
      </c>
      <c r="F29">
        <v>1.3355999999999999</v>
      </c>
      <c r="G29">
        <v>1.2594000000000001</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1.2735000000000001</v>
      </c>
      <c r="C30">
        <v>0.1946</v>
      </c>
      <c r="D30">
        <v>4.0570000000000004</v>
      </c>
      <c r="E30">
        <v>0.59719999999999995</v>
      </c>
      <c r="F30">
        <v>1.5199</v>
      </c>
      <c r="G30">
        <v>1.9411</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1.3604000000000001</v>
      </c>
      <c r="C31">
        <v>0.1865</v>
      </c>
      <c r="D31">
        <v>3.3371</v>
      </c>
      <c r="E31">
        <v>0.64390000000000003</v>
      </c>
      <c r="F31">
        <v>1.9931000000000001</v>
      </c>
      <c r="G31">
        <v>2.7111000000000001</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v>
      </c>
      <c r="C32">
        <v>0</v>
      </c>
      <c r="D32">
        <v>0</v>
      </c>
      <c r="E32">
        <v>0</v>
      </c>
      <c r="F32">
        <v>0</v>
      </c>
      <c r="G32">
        <v>0</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1.3240000000000001</v>
      </c>
      <c r="C33">
        <v>0.24199999999999999</v>
      </c>
      <c r="D33">
        <v>5.6608999999999998</v>
      </c>
      <c r="E33">
        <v>0.66439999999999999</v>
      </c>
      <c r="F33">
        <v>1.4666999999999999</v>
      </c>
      <c r="G33">
        <v>1.5712999999999999</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1.343</v>
      </c>
      <c r="C34">
        <v>0.43609999999999999</v>
      </c>
      <c r="D34">
        <v>13.304399999999999</v>
      </c>
      <c r="E34">
        <v>0.91900000000000004</v>
      </c>
      <c r="F34">
        <v>1.2218</v>
      </c>
      <c r="G34">
        <v>1.2008000000000001</v>
      </c>
      <c r="K34" s="17"/>
      <c r="L34" s="17"/>
      <c r="M34" s="17"/>
      <c r="N34" s="17"/>
      <c r="O34" s="17"/>
      <c r="P34" s="17"/>
      <c r="Y34" s="11"/>
      <c r="AM34" s="12"/>
      <c r="AV34" s="12"/>
      <c r="BE34" s="12"/>
      <c r="BN34" s="12"/>
      <c r="BW34" s="12"/>
      <c r="CF34" s="12"/>
    </row>
    <row r="35" spans="1:87">
      <c r="A35" s="581" t="s">
        <v>1553</v>
      </c>
      <c r="B35">
        <v>1</v>
      </c>
      <c r="C35">
        <v>0</v>
      </c>
      <c r="D35">
        <v>0</v>
      </c>
      <c r="E35">
        <v>0</v>
      </c>
      <c r="F35">
        <v>0</v>
      </c>
      <c r="G35">
        <v>0</v>
      </c>
      <c r="K35" s="17"/>
      <c r="L35" s="17"/>
      <c r="M35" s="17"/>
      <c r="N35" s="18"/>
      <c r="O35" s="18"/>
      <c r="P35" s="17"/>
      <c r="Y35" s="11"/>
      <c r="AM35" s="12"/>
      <c r="AP35" s="12"/>
      <c r="AV35" s="12"/>
      <c r="AY35" s="12"/>
      <c r="BE35" s="12"/>
      <c r="BH35" s="12"/>
      <c r="BN35" s="12"/>
      <c r="BQ35" s="12"/>
      <c r="BW35" s="12"/>
      <c r="BZ35" s="12"/>
      <c r="CF35" s="12"/>
      <c r="CI35" s="12"/>
    </row>
    <row r="36" spans="1:87">
      <c r="A36" s="581" t="s">
        <v>1554</v>
      </c>
      <c r="B36">
        <v>1.3449</v>
      </c>
      <c r="C36">
        <v>0.36459999999999998</v>
      </c>
      <c r="D36">
        <v>8.0844000000000005</v>
      </c>
      <c r="E36">
        <v>0.90859999999999996</v>
      </c>
      <c r="F36">
        <v>1.2799</v>
      </c>
      <c r="G36">
        <v>1.385</v>
      </c>
      <c r="K36" s="17"/>
      <c r="L36" s="17"/>
      <c r="M36" s="17"/>
      <c r="N36" s="18"/>
      <c r="O36" s="18"/>
      <c r="P36" s="17"/>
      <c r="Y36" s="11"/>
      <c r="AM36" s="12"/>
      <c r="AV36" s="12"/>
      <c r="BE36" s="12"/>
      <c r="BN36" s="12"/>
      <c r="BW36" s="12"/>
      <c r="CF36" s="12"/>
    </row>
    <row r="37" spans="1:87">
      <c r="A37" s="581" t="s">
        <v>1555</v>
      </c>
      <c r="B37">
        <v>1.3429</v>
      </c>
      <c r="C37">
        <v>0.31680000000000003</v>
      </c>
      <c r="D37">
        <v>8.1114999999999995</v>
      </c>
      <c r="E37">
        <v>0.94750000000000001</v>
      </c>
      <c r="F37">
        <v>1.3079000000000001</v>
      </c>
      <c r="G37">
        <v>1.3535999999999999</v>
      </c>
      <c r="K37" s="17"/>
      <c r="L37" s="17"/>
      <c r="M37" s="17"/>
      <c r="N37" s="17"/>
      <c r="O37" s="17"/>
      <c r="P37" s="17"/>
      <c r="Y37" s="11"/>
    </row>
    <row r="38" spans="1:87">
      <c r="A38" s="581" t="s">
        <v>1556</v>
      </c>
      <c r="B38">
        <v>1.3804000000000001</v>
      </c>
      <c r="C38">
        <v>0.40510000000000002</v>
      </c>
      <c r="D38">
        <v>7.5972999999999997</v>
      </c>
      <c r="E38">
        <v>0.70789999999999997</v>
      </c>
      <c r="F38">
        <v>1.2818000000000001</v>
      </c>
      <c r="G38">
        <v>1.4582999999999999</v>
      </c>
      <c r="Y38" s="11"/>
    </row>
    <row r="39" spans="1:87">
      <c r="A39" s="581" t="s">
        <v>1557</v>
      </c>
      <c r="B39">
        <v>1.3205</v>
      </c>
      <c r="C39">
        <v>0.2581</v>
      </c>
      <c r="D39">
        <v>6.7416999999999998</v>
      </c>
      <c r="E39">
        <v>0.77400000000000002</v>
      </c>
      <c r="F39">
        <v>1.3923000000000001</v>
      </c>
      <c r="G39">
        <v>1.4056</v>
      </c>
      <c r="Y39" s="11"/>
    </row>
    <row r="40" spans="1:87">
      <c r="A40" s="581" t="s">
        <v>1558</v>
      </c>
      <c r="B40">
        <v>1.3735999999999999</v>
      </c>
      <c r="C40">
        <v>0.28539999999999999</v>
      </c>
      <c r="D40">
        <v>3.7940999999999998</v>
      </c>
      <c r="E40">
        <v>0.57809999999999995</v>
      </c>
      <c r="F40">
        <v>1.3971</v>
      </c>
      <c r="G40">
        <v>1.9749000000000001</v>
      </c>
      <c r="N40" s="12"/>
      <c r="O40" s="14"/>
      <c r="Q40" s="12"/>
      <c r="Y40" s="11"/>
    </row>
    <row r="41" spans="1:87">
      <c r="A41" s="581" t="s">
        <v>1559</v>
      </c>
      <c r="B41">
        <v>1.2482</v>
      </c>
      <c r="C41">
        <v>0.16209999999999999</v>
      </c>
      <c r="D41">
        <v>2.8370000000000002</v>
      </c>
      <c r="E41">
        <v>0.72399999999999998</v>
      </c>
      <c r="F41">
        <v>1.5447</v>
      </c>
      <c r="G41">
        <v>2.0028000000000001</v>
      </c>
      <c r="N41" s="12"/>
      <c r="O41" s="14"/>
      <c r="Q41" s="12"/>
      <c r="Y41" s="11"/>
    </row>
    <row r="42" spans="1:87">
      <c r="A42" s="581" t="s">
        <v>1560</v>
      </c>
      <c r="B42">
        <v>1.3828</v>
      </c>
      <c r="C42">
        <v>0.25469999999999998</v>
      </c>
      <c r="D42">
        <v>4.5279999999999996</v>
      </c>
      <c r="E42">
        <v>0.7167</v>
      </c>
      <c r="F42">
        <v>1.5620000000000001</v>
      </c>
      <c r="G42">
        <v>2.1305000000000001</v>
      </c>
      <c r="Y42" s="11"/>
    </row>
    <row r="43" spans="1:87">
      <c r="A43" s="581" t="s">
        <v>1561</v>
      </c>
      <c r="B43">
        <v>1.3671</v>
      </c>
      <c r="C43">
        <v>0.20760000000000001</v>
      </c>
      <c r="D43">
        <v>4.1298000000000004</v>
      </c>
      <c r="E43">
        <v>0.78569999999999995</v>
      </c>
      <c r="F43">
        <v>1.6989000000000001</v>
      </c>
      <c r="G43">
        <v>2.0787</v>
      </c>
      <c r="Q43" s="12"/>
      <c r="Y43" s="11"/>
    </row>
    <row r="44" spans="1:87">
      <c r="A44" s="581" t="s">
        <v>1562</v>
      </c>
      <c r="B44">
        <v>1.5223</v>
      </c>
      <c r="C44">
        <v>0.3669</v>
      </c>
      <c r="D44">
        <v>7.2256</v>
      </c>
      <c r="E44">
        <v>0.67859999999999998</v>
      </c>
      <c r="F44">
        <v>1.4905999999999999</v>
      </c>
      <c r="G44">
        <v>1.72</v>
      </c>
      <c r="Y44" s="11"/>
    </row>
    <row r="45" spans="1:87">
      <c r="A45" s="581" t="s">
        <v>1563</v>
      </c>
      <c r="B45">
        <v>1.5017</v>
      </c>
      <c r="C45">
        <v>0.4123</v>
      </c>
      <c r="D45">
        <v>7.1348000000000003</v>
      </c>
      <c r="E45">
        <v>0.96699999999999997</v>
      </c>
      <c r="F45">
        <v>1.4329000000000001</v>
      </c>
      <c r="G45">
        <v>1.6962999999999999</v>
      </c>
      <c r="Q45" s="12"/>
      <c r="Y45" s="11"/>
    </row>
    <row r="46" spans="1:87">
      <c r="A46" s="581" t="s">
        <v>1564</v>
      </c>
      <c r="B46">
        <v>1.3586</v>
      </c>
      <c r="C46">
        <v>0.20780000000000001</v>
      </c>
      <c r="D46">
        <v>9.2775999999999996</v>
      </c>
      <c r="E46">
        <v>0.60850000000000004</v>
      </c>
      <c r="F46">
        <v>1.6479999999999999</v>
      </c>
      <c r="G46">
        <v>1.2496</v>
      </c>
      <c r="Q46" s="16"/>
      <c r="Y46" s="11"/>
    </row>
    <row r="47" spans="1:87">
      <c r="A47" s="581" t="s">
        <v>1565</v>
      </c>
      <c r="B47">
        <v>1.2335</v>
      </c>
      <c r="C47">
        <v>9.7100000000000006E-2</v>
      </c>
      <c r="D47">
        <v>5.3954000000000004</v>
      </c>
      <c r="E47">
        <v>0.83809999999999996</v>
      </c>
      <c r="F47">
        <v>1.9276</v>
      </c>
      <c r="G47">
        <v>1.3050999999999999</v>
      </c>
      <c r="Q47" s="16"/>
      <c r="Y47" s="11"/>
    </row>
    <row r="48" spans="1:87">
      <c r="A48" s="581" t="s">
        <v>1566</v>
      </c>
      <c r="B48">
        <v>1.4599</v>
      </c>
      <c r="C48">
        <v>0.39129999999999998</v>
      </c>
      <c r="D48">
        <v>6.8799000000000001</v>
      </c>
      <c r="E48">
        <v>1.0165999999999999</v>
      </c>
      <c r="F48">
        <v>1.3784000000000001</v>
      </c>
      <c r="G48">
        <v>1.681</v>
      </c>
      <c r="Y48" s="11"/>
    </row>
    <row r="49" spans="1:25">
      <c r="A49" s="581" t="s">
        <v>1567</v>
      </c>
      <c r="B49">
        <v>1.4457</v>
      </c>
      <c r="C49">
        <v>0.49390000000000001</v>
      </c>
      <c r="D49">
        <v>8.5771999999999995</v>
      </c>
      <c r="E49">
        <v>0.99409999999999998</v>
      </c>
      <c r="F49">
        <v>1.2627999999999999</v>
      </c>
      <c r="G49">
        <v>1.5196000000000001</v>
      </c>
      <c r="Y49" s="11"/>
    </row>
    <row r="50" spans="1:25">
      <c r="A50" s="581" t="s">
        <v>1568</v>
      </c>
      <c r="B50">
        <v>1.4814000000000001</v>
      </c>
      <c r="C50">
        <v>0.50629999999999997</v>
      </c>
      <c r="D50">
        <v>6.6879</v>
      </c>
      <c r="E50">
        <v>0.94869999999999999</v>
      </c>
      <c r="F50">
        <v>1.2887999999999999</v>
      </c>
      <c r="G50">
        <v>1.8359000000000001</v>
      </c>
      <c r="Y50" s="11"/>
    </row>
    <row r="51" spans="1:25">
      <c r="A51" s="581" t="s">
        <v>1569</v>
      </c>
      <c r="B51">
        <v>1.4253</v>
      </c>
      <c r="C51">
        <v>0.41610000000000003</v>
      </c>
      <c r="D51">
        <v>14.716699999999999</v>
      </c>
      <c r="E51">
        <v>0.93589999999999995</v>
      </c>
      <c r="F51">
        <v>1.3129</v>
      </c>
      <c r="G51">
        <v>1.2343</v>
      </c>
      <c r="Y51" s="11"/>
    </row>
    <row r="52" spans="1:25">
      <c r="A52" s="581" t="s">
        <v>1570</v>
      </c>
      <c r="B52">
        <v>1.4551000000000001</v>
      </c>
      <c r="C52">
        <v>0.33800000000000002</v>
      </c>
      <c r="D52">
        <v>6.4656000000000002</v>
      </c>
      <c r="E52">
        <v>0.79190000000000005</v>
      </c>
      <c r="F52">
        <v>1.4674</v>
      </c>
      <c r="G52">
        <v>1.7396</v>
      </c>
      <c r="Y52" s="11"/>
    </row>
    <row r="53" spans="1:25">
      <c r="A53" s="581" t="s">
        <v>1571</v>
      </c>
      <c r="B53">
        <v>1.47</v>
      </c>
      <c r="C53">
        <v>0.42949999999999999</v>
      </c>
      <c r="D53">
        <v>14.0076</v>
      </c>
      <c r="E53">
        <v>0.95009999999999994</v>
      </c>
      <c r="F53">
        <v>1.2903</v>
      </c>
      <c r="G53">
        <v>1.2524</v>
      </c>
      <c r="K53" s="17"/>
      <c r="N53" s="17"/>
      <c r="O53" s="17"/>
      <c r="P53" s="17"/>
      <c r="Y53" s="11"/>
    </row>
    <row r="54" spans="1:25">
      <c r="A54" s="581" t="s">
        <v>1572</v>
      </c>
      <c r="B54">
        <v>1.5049999999999999</v>
      </c>
      <c r="C54">
        <v>0.51619999999999999</v>
      </c>
      <c r="D54">
        <v>9.7039000000000009</v>
      </c>
      <c r="E54">
        <v>1.0046999999999999</v>
      </c>
      <c r="F54">
        <v>1.2983</v>
      </c>
      <c r="G54">
        <v>1.5025999999999999</v>
      </c>
      <c r="K54" s="17"/>
      <c r="N54" s="12"/>
      <c r="O54" s="12"/>
      <c r="Y54" s="11"/>
    </row>
    <row r="55" spans="1:25">
      <c r="A55" s="581" t="s">
        <v>1573</v>
      </c>
      <c r="B55">
        <v>1.5134000000000001</v>
      </c>
      <c r="C55">
        <v>0.40550000000000003</v>
      </c>
      <c r="D55">
        <v>8.3374000000000006</v>
      </c>
      <c r="E55">
        <v>0.86399999999999999</v>
      </c>
      <c r="F55">
        <v>1.3573</v>
      </c>
      <c r="G55">
        <v>1.5759000000000001</v>
      </c>
      <c r="K55" s="17"/>
      <c r="N55" s="12"/>
      <c r="O55" s="12"/>
      <c r="Y55" s="11"/>
    </row>
    <row r="56" spans="1:25">
      <c r="A56" s="581" t="s">
        <v>1574</v>
      </c>
      <c r="B56">
        <v>1.4447000000000001</v>
      </c>
      <c r="C56">
        <v>0.44219999999999998</v>
      </c>
      <c r="D56">
        <v>14.090400000000001</v>
      </c>
      <c r="E56">
        <v>0.95640000000000003</v>
      </c>
      <c r="F56">
        <v>1.2778</v>
      </c>
      <c r="G56">
        <v>1.2471000000000001</v>
      </c>
      <c r="K56" s="17"/>
      <c r="Y56" s="11"/>
    </row>
    <row r="57" spans="1:25">
      <c r="A57" s="581" t="s">
        <v>1575</v>
      </c>
      <c r="B57">
        <v>1.4520999999999999</v>
      </c>
      <c r="C57">
        <v>0.41489999999999999</v>
      </c>
      <c r="D57">
        <v>17.096299999999999</v>
      </c>
      <c r="E57">
        <v>0.92059999999999997</v>
      </c>
      <c r="F57">
        <v>1.3149999999999999</v>
      </c>
      <c r="G57">
        <v>1.1992</v>
      </c>
      <c r="Y57" s="11"/>
    </row>
    <row r="58" spans="1:25">
      <c r="A58" s="581" t="s">
        <v>1576</v>
      </c>
      <c r="B58">
        <v>1.4690000000000001</v>
      </c>
      <c r="C58">
        <v>0.38779999999999998</v>
      </c>
      <c r="D58">
        <v>13.273199999999999</v>
      </c>
      <c r="E58">
        <v>0.89329999999999998</v>
      </c>
      <c r="F58">
        <v>1.3502000000000001</v>
      </c>
      <c r="G58">
        <v>1.2759</v>
      </c>
      <c r="Y58" s="11"/>
    </row>
    <row r="59" spans="1:25">
      <c r="A59" s="581" t="s">
        <v>1577</v>
      </c>
      <c r="B59">
        <v>1.4104000000000001</v>
      </c>
      <c r="C59">
        <v>0.37090000000000001</v>
      </c>
      <c r="D59">
        <v>18.546500000000002</v>
      </c>
      <c r="E59">
        <v>0.90539999999999998</v>
      </c>
      <c r="F59">
        <v>1.32</v>
      </c>
      <c r="G59">
        <v>1.1544000000000001</v>
      </c>
      <c r="N59" s="12"/>
      <c r="O59" s="14"/>
      <c r="Q59" s="12"/>
      <c r="Y59" s="11"/>
    </row>
    <row r="60" spans="1:25">
      <c r="A60" s="581" t="s">
        <v>1578</v>
      </c>
      <c r="B60">
        <v>1.4565999999999999</v>
      </c>
      <c r="C60">
        <v>0.32100000000000001</v>
      </c>
      <c r="D60">
        <v>9.16</v>
      </c>
      <c r="E60">
        <v>0.82479999999999998</v>
      </c>
      <c r="F60">
        <v>1.5152000000000001</v>
      </c>
      <c r="G60">
        <v>1.4500999999999999</v>
      </c>
      <c r="N60" s="12"/>
      <c r="O60" s="14"/>
      <c r="Q60" s="12"/>
      <c r="Y60" s="11"/>
    </row>
    <row r="61" spans="1:25">
      <c r="A61" s="581" t="s">
        <v>1579</v>
      </c>
      <c r="B61">
        <v>1.3956999999999999</v>
      </c>
      <c r="C61">
        <v>0.33760000000000001</v>
      </c>
      <c r="D61">
        <v>15.410500000000001</v>
      </c>
      <c r="E61">
        <v>0.78490000000000004</v>
      </c>
      <c r="F61">
        <v>1.3462000000000001</v>
      </c>
      <c r="G61">
        <v>1.1787000000000001</v>
      </c>
      <c r="Y61" s="11"/>
    </row>
    <row r="62" spans="1:25">
      <c r="A62" s="581" t="s">
        <v>1580</v>
      </c>
      <c r="B62">
        <v>1.5290999999999999</v>
      </c>
      <c r="C62">
        <v>0.39360000000000001</v>
      </c>
      <c r="D62">
        <v>10.157400000000001</v>
      </c>
      <c r="E62">
        <v>0.87870000000000004</v>
      </c>
      <c r="F62">
        <v>1.4457</v>
      </c>
      <c r="G62">
        <v>1.454</v>
      </c>
      <c r="Q62" s="12"/>
      <c r="Y62" s="11"/>
    </row>
    <row r="63" spans="1:25">
      <c r="A63" s="581" t="s">
        <v>1581</v>
      </c>
      <c r="B63">
        <v>0.75700000000000001</v>
      </c>
      <c r="C63">
        <v>0.1706</v>
      </c>
      <c r="D63">
        <v>5.0880999999999998</v>
      </c>
      <c r="E63">
        <v>0.47639999999999999</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sheetPr codeName="Sheet46">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1.4282999999999999</v>
      </c>
      <c r="C2">
        <v>0.33450000000000002</v>
      </c>
      <c r="D2">
        <v>16.0122</v>
      </c>
      <c r="E2">
        <v>0.65859999999999996</v>
      </c>
      <c r="F2">
        <v>1.2821</v>
      </c>
      <c r="G2">
        <v>1.1419999999999999</v>
      </c>
    </row>
    <row r="3" spans="1:87">
      <c r="A3" s="581" t="s">
        <v>1521</v>
      </c>
      <c r="B3">
        <v>1.677</v>
      </c>
      <c r="C3">
        <v>0.65600000000000003</v>
      </c>
      <c r="D3">
        <v>30.8216</v>
      </c>
      <c r="E3">
        <v>1.0209999999999999</v>
      </c>
      <c r="F3">
        <v>1.2211000000000001</v>
      </c>
      <c r="G3">
        <v>1.1135999999999999</v>
      </c>
    </row>
    <row r="4" spans="1:87">
      <c r="A4" s="581" t="s">
        <v>1522</v>
      </c>
      <c r="B4">
        <v>1</v>
      </c>
      <c r="C4">
        <v>0</v>
      </c>
      <c r="D4">
        <v>0</v>
      </c>
      <c r="E4">
        <v>0</v>
      </c>
      <c r="F4">
        <v>0</v>
      </c>
      <c r="G4">
        <v>0</v>
      </c>
      <c r="N4" s="17"/>
      <c r="U4" s="21"/>
      <c r="X4" s="21"/>
    </row>
    <row r="5" spans="1:87">
      <c r="A5" s="581" t="s">
        <v>1523</v>
      </c>
      <c r="B5">
        <v>1.4121999999999999</v>
      </c>
      <c r="C5">
        <v>0.23710000000000001</v>
      </c>
      <c r="D5">
        <v>4.6467999999999998</v>
      </c>
      <c r="E5">
        <v>0.82</v>
      </c>
      <c r="F5">
        <v>1.419</v>
      </c>
      <c r="G5">
        <v>1.5406</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1.7231000000000001</v>
      </c>
      <c r="C6">
        <v>0.32890000000000003</v>
      </c>
      <c r="D6">
        <v>7.4851999999999999</v>
      </c>
      <c r="E6">
        <v>0.85540000000000005</v>
      </c>
      <c r="F6">
        <v>1.6644000000000001</v>
      </c>
      <c r="G6">
        <v>1.6202000000000001</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1.2373000000000001</v>
      </c>
      <c r="C7">
        <v>0.15720000000000001</v>
      </c>
      <c r="D7">
        <v>2.1431</v>
      </c>
      <c r="E7">
        <v>0.83799999999999997</v>
      </c>
      <c r="F7">
        <v>1.383</v>
      </c>
      <c r="G7">
        <v>1.9453</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1.6567000000000001</v>
      </c>
      <c r="C8">
        <v>0.35120000000000001</v>
      </c>
      <c r="D8">
        <v>7.3253000000000004</v>
      </c>
      <c r="E8">
        <v>0.9083</v>
      </c>
      <c r="F8">
        <v>1.4726999999999999</v>
      </c>
      <c r="G8">
        <v>1.5958000000000001</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1.6900999999999999</v>
      </c>
      <c r="C9">
        <v>0.15479999999999999</v>
      </c>
      <c r="D9">
        <v>3.6450999999999998</v>
      </c>
      <c r="E9">
        <v>0.74790000000000001</v>
      </c>
      <c r="F9">
        <v>3.7208000000000001</v>
      </c>
      <c r="G9">
        <v>3.2917999999999998</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1.585</v>
      </c>
      <c r="C10">
        <v>0.1714</v>
      </c>
      <c r="D10">
        <v>3.5848</v>
      </c>
      <c r="E10">
        <v>0.7248</v>
      </c>
      <c r="F10">
        <v>2.1836000000000002</v>
      </c>
      <c r="G10">
        <v>2.2747999999999999</v>
      </c>
      <c r="U10" s="13"/>
      <c r="V10" s="23"/>
      <c r="W10" s="26"/>
      <c r="Y10" s="11"/>
      <c r="AM10" s="12"/>
      <c r="AV10" s="12"/>
      <c r="BE10" s="12"/>
      <c r="BN10" s="12"/>
      <c r="BW10" s="12"/>
      <c r="CF10" s="12"/>
    </row>
    <row r="11" spans="1:87">
      <c r="A11" s="581" t="s">
        <v>1529</v>
      </c>
      <c r="B11">
        <v>1.4963</v>
      </c>
      <c r="C11">
        <v>0.16039999999999999</v>
      </c>
      <c r="D11">
        <v>3.6528</v>
      </c>
      <c r="E11">
        <v>0.47789999999999999</v>
      </c>
      <c r="F11">
        <v>2.0154000000000001</v>
      </c>
      <c r="G11">
        <v>1.9178999999999999</v>
      </c>
      <c r="U11" s="13"/>
      <c r="V11" s="23"/>
      <c r="Y11" s="11"/>
      <c r="AM11" s="12"/>
      <c r="AP11" s="12"/>
      <c r="AV11" s="12"/>
      <c r="AY11" s="12"/>
      <c r="BE11" s="12"/>
      <c r="BH11" s="12"/>
      <c r="BN11" s="12"/>
      <c r="BQ11" s="12"/>
      <c r="BW11" s="12"/>
      <c r="BZ11" s="12"/>
      <c r="CF11" s="12"/>
      <c r="CI11" s="12"/>
    </row>
    <row r="12" spans="1:87">
      <c r="A12" s="581" t="s">
        <v>1530</v>
      </c>
      <c r="B12">
        <v>1.5583</v>
      </c>
      <c r="C12">
        <v>0.23499999999999999</v>
      </c>
      <c r="D12">
        <v>4.5953999999999997</v>
      </c>
      <c r="E12">
        <v>0.754</v>
      </c>
      <c r="F12">
        <v>1.6331</v>
      </c>
      <c r="G12">
        <v>1.8083</v>
      </c>
      <c r="N12" s="15"/>
      <c r="U12" s="13"/>
      <c r="V12" s="23"/>
      <c r="Y12" s="11"/>
      <c r="AM12" s="12"/>
      <c r="AV12" s="12"/>
      <c r="BE12" s="12"/>
      <c r="BN12" s="12"/>
      <c r="BW12" s="12"/>
      <c r="CF12" s="12"/>
    </row>
    <row r="13" spans="1:87">
      <c r="A13" s="581" t="s">
        <v>1531</v>
      </c>
      <c r="B13">
        <v>1.5818000000000001</v>
      </c>
      <c r="C13">
        <v>0.2394</v>
      </c>
      <c r="D13">
        <v>4.0175999999999998</v>
      </c>
      <c r="E13">
        <v>0.7903</v>
      </c>
      <c r="F13">
        <v>1.6586000000000001</v>
      </c>
      <c r="G13">
        <v>2.0541</v>
      </c>
      <c r="N13" s="16"/>
      <c r="U13" s="13"/>
      <c r="V13" s="23"/>
      <c r="Y13" s="11"/>
      <c r="AM13" s="12"/>
      <c r="AV13" s="12"/>
      <c r="BE13" s="12"/>
      <c r="BN13" s="12"/>
      <c r="BW13" s="12"/>
      <c r="CF13" s="12"/>
    </row>
    <row r="14" spans="1:87">
      <c r="A14" s="581" t="s">
        <v>1532</v>
      </c>
      <c r="B14">
        <v>1.456</v>
      </c>
      <c r="C14">
        <v>0.1961</v>
      </c>
      <c r="D14">
        <v>3.1757</v>
      </c>
      <c r="E14">
        <v>0.97970000000000002</v>
      </c>
      <c r="F14">
        <v>1.6476</v>
      </c>
      <c r="G14">
        <v>2.0647000000000002</v>
      </c>
      <c r="N14" s="16"/>
      <c r="U14" s="13"/>
      <c r="V14" s="23"/>
      <c r="Y14" s="11"/>
      <c r="AM14" s="12"/>
      <c r="AV14" s="12"/>
      <c r="BE14" s="12"/>
      <c r="BN14" s="12"/>
      <c r="BW14" s="12"/>
      <c r="CF14" s="12"/>
    </row>
    <row r="15" spans="1:87">
      <c r="A15" s="581" t="s">
        <v>1533</v>
      </c>
      <c r="B15">
        <v>1.5602</v>
      </c>
      <c r="C15">
        <v>0.18590000000000001</v>
      </c>
      <c r="D15">
        <v>3.4994000000000001</v>
      </c>
      <c r="E15">
        <v>0.70750000000000002</v>
      </c>
      <c r="F15">
        <v>1.8944000000000001</v>
      </c>
      <c r="G15">
        <v>2.1368999999999998</v>
      </c>
      <c r="N15" s="15"/>
      <c r="U15" s="13"/>
      <c r="V15" s="23"/>
      <c r="Y15" s="11"/>
      <c r="AM15" s="12"/>
      <c r="AV15" s="12"/>
    </row>
    <row r="16" spans="1:87">
      <c r="A16" s="581" t="s">
        <v>1534</v>
      </c>
      <c r="B16">
        <v>1.6883999999999999</v>
      </c>
      <c r="C16">
        <v>0.18759999999999999</v>
      </c>
      <c r="D16">
        <v>4.3563999999999998</v>
      </c>
      <c r="E16">
        <v>0.53469999999999995</v>
      </c>
      <c r="F16">
        <v>2.3805999999999998</v>
      </c>
      <c r="G16">
        <v>2.0691000000000002</v>
      </c>
      <c r="U16" s="13"/>
      <c r="V16" s="23"/>
      <c r="Y16" s="11"/>
      <c r="AM16" s="12"/>
      <c r="AV16" s="12"/>
      <c r="BE16" s="12"/>
      <c r="BN16" s="12"/>
      <c r="BW16" s="12"/>
      <c r="CF16" s="12"/>
    </row>
    <row r="17" spans="1:87">
      <c r="A17" s="581" t="s">
        <v>1535</v>
      </c>
      <c r="B17">
        <v>1.6402000000000001</v>
      </c>
      <c r="C17">
        <v>0.1875</v>
      </c>
      <c r="D17">
        <v>4.306</v>
      </c>
      <c r="E17">
        <v>0.69720000000000004</v>
      </c>
      <c r="F17">
        <v>2.3797999999999999</v>
      </c>
      <c r="G17">
        <v>2.0518000000000001</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1.639</v>
      </c>
      <c r="C18">
        <v>0.2576</v>
      </c>
      <c r="D18">
        <v>5.2016</v>
      </c>
      <c r="E18">
        <v>0.85589999999999999</v>
      </c>
      <c r="F18">
        <v>1.6221000000000001</v>
      </c>
      <c r="G18">
        <v>1.7724</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1.522</v>
      </c>
      <c r="C19">
        <v>0.1764</v>
      </c>
      <c r="D19">
        <v>3.0874999999999999</v>
      </c>
      <c r="E19">
        <v>0.87760000000000005</v>
      </c>
      <c r="F19">
        <v>1.8976</v>
      </c>
      <c r="G19">
        <v>2.4058000000000002</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1.6916</v>
      </c>
      <c r="C20">
        <v>0.1694</v>
      </c>
      <c r="D20">
        <v>3.6377999999999999</v>
      </c>
      <c r="E20">
        <v>0.62570000000000003</v>
      </c>
      <c r="F20">
        <v>2.4384000000000001</v>
      </c>
      <c r="G20">
        <v>2.3472</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1.5723</v>
      </c>
      <c r="C21">
        <v>0.22220000000000001</v>
      </c>
      <c r="D21">
        <v>5.3202999999999996</v>
      </c>
      <c r="E21">
        <v>0.62970000000000004</v>
      </c>
      <c r="F21">
        <v>1.6859999999999999</v>
      </c>
      <c r="G21">
        <v>1.6324000000000001</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1.5931</v>
      </c>
      <c r="C22">
        <v>0.28160000000000002</v>
      </c>
      <c r="D22">
        <v>7.4255000000000004</v>
      </c>
      <c r="E22">
        <v>0.99339999999999995</v>
      </c>
      <c r="F22">
        <v>1.5506</v>
      </c>
      <c r="G22">
        <v>1.4696</v>
      </c>
      <c r="K22" s="17"/>
      <c r="L22" s="17"/>
      <c r="M22" s="17"/>
      <c r="N22" s="17"/>
      <c r="O22" s="17"/>
      <c r="P22" s="17"/>
      <c r="U22" s="13"/>
      <c r="V22" s="23"/>
      <c r="Y22" s="11"/>
      <c r="AM22" s="12"/>
      <c r="AV22" s="12"/>
      <c r="BE22" s="12"/>
      <c r="BN22" s="12"/>
      <c r="BW22" s="12"/>
      <c r="CF22" s="12"/>
    </row>
    <row r="23" spans="1:87">
      <c r="A23" s="581" t="s">
        <v>1541</v>
      </c>
      <c r="B23">
        <v>1.4942</v>
      </c>
      <c r="C23">
        <v>0.15359999999999999</v>
      </c>
      <c r="D23">
        <v>2.8416999999999999</v>
      </c>
      <c r="E23">
        <v>0.60660000000000003</v>
      </c>
      <c r="F23">
        <v>1.9117</v>
      </c>
      <c r="G23">
        <v>2.1949000000000001</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1.7358</v>
      </c>
      <c r="C24">
        <v>0.2495</v>
      </c>
      <c r="D24">
        <v>5.5532000000000004</v>
      </c>
      <c r="E24">
        <v>0.78439999999999999</v>
      </c>
      <c r="F24">
        <v>1.8956999999999999</v>
      </c>
      <c r="G24">
        <v>1.9302999999999999</v>
      </c>
      <c r="K24" s="17"/>
      <c r="L24" s="17"/>
      <c r="M24" s="17"/>
      <c r="N24" s="18"/>
      <c r="O24" s="18"/>
      <c r="P24" s="17"/>
      <c r="R24" s="11"/>
      <c r="U24" s="13"/>
      <c r="V24" s="23"/>
      <c r="Y24" s="11"/>
      <c r="AM24" s="12"/>
      <c r="AV24" s="12"/>
      <c r="BE24" s="12"/>
      <c r="BN24" s="12"/>
      <c r="BW24" s="12"/>
      <c r="CF24" s="12"/>
    </row>
    <row r="25" spans="1:87">
      <c r="A25" s="581" t="s">
        <v>1543</v>
      </c>
      <c r="B25">
        <v>1.1798999999999999</v>
      </c>
      <c r="C25">
        <v>0.13239999999999999</v>
      </c>
      <c r="D25">
        <v>1.69</v>
      </c>
      <c r="E25">
        <v>0.37380000000000002</v>
      </c>
      <c r="F25">
        <v>1.2932999999999999</v>
      </c>
      <c r="G25">
        <v>1.7894000000000001</v>
      </c>
      <c r="K25" s="17"/>
      <c r="L25" s="17"/>
      <c r="M25" s="17"/>
      <c r="N25" s="18"/>
      <c r="O25" s="17"/>
      <c r="P25" s="17"/>
      <c r="U25" s="13"/>
      <c r="V25" s="23"/>
      <c r="Y25" s="11"/>
      <c r="AM25" s="12"/>
      <c r="AV25" s="12"/>
      <c r="BE25" s="12"/>
      <c r="BN25" s="12"/>
      <c r="BW25" s="12"/>
      <c r="CF25" s="12"/>
    </row>
    <row r="26" spans="1:87">
      <c r="A26" s="581" t="s">
        <v>1544</v>
      </c>
      <c r="B26">
        <v>1.5032000000000001</v>
      </c>
      <c r="C26">
        <v>0.14069999999999999</v>
      </c>
      <c r="D26">
        <v>2.1377000000000002</v>
      </c>
      <c r="E26">
        <v>0.63880000000000003</v>
      </c>
      <c r="F26">
        <v>2.1977000000000002</v>
      </c>
      <c r="G26">
        <v>3.3765999999999998</v>
      </c>
      <c r="Y26" s="11"/>
      <c r="AM26" s="12"/>
      <c r="AV26" s="12"/>
      <c r="BE26" s="12"/>
      <c r="BN26" s="12"/>
      <c r="BW26" s="12"/>
      <c r="CF26" s="12"/>
    </row>
    <row r="27" spans="1:87">
      <c r="A27" s="581" t="s">
        <v>1545</v>
      </c>
      <c r="B27">
        <v>1.5489999999999999</v>
      </c>
      <c r="C27">
        <v>0.1482</v>
      </c>
      <c r="D27">
        <v>3.0081000000000002</v>
      </c>
      <c r="E27">
        <v>0.66800000000000004</v>
      </c>
      <c r="F27">
        <v>2.0943000000000001</v>
      </c>
      <c r="G27">
        <v>2.1686000000000001</v>
      </c>
      <c r="M27" s="12"/>
      <c r="Y27" s="11"/>
      <c r="AM27" s="12"/>
      <c r="AV27" s="12"/>
    </row>
    <row r="28" spans="1:87">
      <c r="A28" s="581" t="s">
        <v>1546</v>
      </c>
      <c r="B28">
        <v>1.5785</v>
      </c>
      <c r="C28">
        <v>0.26419999999999999</v>
      </c>
      <c r="D28">
        <v>4.6670999999999996</v>
      </c>
      <c r="E28">
        <v>1.0036</v>
      </c>
      <c r="F28">
        <v>1.62</v>
      </c>
      <c r="G28">
        <v>2.0541999999999998</v>
      </c>
      <c r="M28" s="13"/>
      <c r="N28" s="12"/>
      <c r="O28" s="14"/>
      <c r="Q28" s="12"/>
      <c r="Y28" s="11"/>
      <c r="AM28" s="12"/>
      <c r="AV28" s="12"/>
      <c r="BE28" s="12"/>
      <c r="BN28" s="12"/>
      <c r="BW28" s="12"/>
      <c r="CF28" s="12"/>
    </row>
    <row r="29" spans="1:87">
      <c r="A29" s="581" t="s">
        <v>1547</v>
      </c>
      <c r="B29">
        <v>1.5861000000000001</v>
      </c>
      <c r="C29">
        <v>0.29270000000000002</v>
      </c>
      <c r="D29">
        <v>9.4753000000000007</v>
      </c>
      <c r="E29">
        <v>1.0173000000000001</v>
      </c>
      <c r="F29">
        <v>1.4943</v>
      </c>
      <c r="G29">
        <v>1.3548</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1.4139999999999999</v>
      </c>
      <c r="C30">
        <v>0.1401</v>
      </c>
      <c r="D30">
        <v>3.0305</v>
      </c>
      <c r="E30">
        <v>0.68389999999999995</v>
      </c>
      <c r="F30">
        <v>2.2198000000000002</v>
      </c>
      <c r="G30">
        <v>2.9420999999999999</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1.5964</v>
      </c>
      <c r="C31">
        <v>0.1467</v>
      </c>
      <c r="D31">
        <v>2.7671000000000001</v>
      </c>
      <c r="E31">
        <v>0.78110000000000002</v>
      </c>
      <c r="F31">
        <v>3.7465000000000002</v>
      </c>
      <c r="G31">
        <v>5.3719000000000001</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1.3713</v>
      </c>
      <c r="C32">
        <v>0.13250000000000001</v>
      </c>
      <c r="D32">
        <v>2.3616999999999999</v>
      </c>
      <c r="E32">
        <v>0.63719999999999999</v>
      </c>
      <c r="F32">
        <v>2.0219999999999998</v>
      </c>
      <c r="G32">
        <v>3.1017999999999999</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1.5410999999999999</v>
      </c>
      <c r="C33">
        <v>0.2359</v>
      </c>
      <c r="D33">
        <v>5.4653999999999998</v>
      </c>
      <c r="E33">
        <v>0.79330000000000001</v>
      </c>
      <c r="F33">
        <v>1.6923999999999999</v>
      </c>
      <c r="G33">
        <v>1.7949999999999999</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1.4459</v>
      </c>
      <c r="C34">
        <v>0.35670000000000002</v>
      </c>
      <c r="D34">
        <v>10.6485</v>
      </c>
      <c r="E34">
        <v>0.9708</v>
      </c>
      <c r="F34">
        <v>1.2750999999999999</v>
      </c>
      <c r="G34">
        <v>1.2262</v>
      </c>
      <c r="K34" s="17"/>
      <c r="L34" s="17"/>
      <c r="M34" s="17"/>
      <c r="N34" s="17"/>
      <c r="O34" s="17"/>
      <c r="P34" s="17"/>
      <c r="Y34" s="11"/>
      <c r="AM34" s="12"/>
      <c r="AV34" s="12"/>
      <c r="BE34" s="12"/>
      <c r="BN34" s="12"/>
      <c r="BW34" s="12"/>
      <c r="CF34" s="12"/>
    </row>
    <row r="35" spans="1:87">
      <c r="A35" s="581" t="s">
        <v>1553</v>
      </c>
      <c r="B35">
        <v>1.4762999999999999</v>
      </c>
      <c r="C35">
        <v>0.26250000000000001</v>
      </c>
      <c r="D35">
        <v>4.1384999999999996</v>
      </c>
      <c r="E35">
        <v>0.90180000000000005</v>
      </c>
      <c r="F35">
        <v>1.5064</v>
      </c>
      <c r="G35">
        <v>2.0764</v>
      </c>
      <c r="K35" s="17"/>
      <c r="L35" s="17"/>
      <c r="M35" s="17"/>
      <c r="N35" s="18"/>
      <c r="O35" s="18"/>
      <c r="P35" s="17"/>
      <c r="Y35" s="11"/>
      <c r="AM35" s="12"/>
      <c r="AP35" s="12"/>
      <c r="AV35" s="12"/>
      <c r="AY35" s="12"/>
      <c r="BE35" s="12"/>
      <c r="BH35" s="12"/>
      <c r="BN35" s="12"/>
      <c r="BQ35" s="12"/>
      <c r="BW35" s="12"/>
      <c r="BZ35" s="12"/>
      <c r="CF35" s="12"/>
      <c r="CI35" s="12"/>
    </row>
    <row r="36" spans="1:87">
      <c r="A36" s="581" t="s">
        <v>1554</v>
      </c>
      <c r="B36">
        <v>1.476</v>
      </c>
      <c r="C36">
        <v>0.29899999999999999</v>
      </c>
      <c r="D36">
        <v>6.5915999999999997</v>
      </c>
      <c r="E36">
        <v>0.98519999999999996</v>
      </c>
      <c r="F36">
        <v>1.3983000000000001</v>
      </c>
      <c r="G36">
        <v>1.5044999999999999</v>
      </c>
      <c r="K36" s="17"/>
      <c r="L36" s="17"/>
      <c r="M36" s="17"/>
      <c r="N36" s="18"/>
      <c r="O36" s="18"/>
      <c r="P36" s="17"/>
      <c r="Y36" s="11"/>
      <c r="AM36" s="12"/>
      <c r="AV36" s="12"/>
      <c r="BE36" s="12"/>
      <c r="BN36" s="12"/>
      <c r="BW36" s="12"/>
      <c r="CF36" s="12"/>
    </row>
    <row r="37" spans="1:87">
      <c r="A37" s="581" t="s">
        <v>1555</v>
      </c>
      <c r="B37">
        <v>1.5155000000000001</v>
      </c>
      <c r="C37">
        <v>0.29409999999999997</v>
      </c>
      <c r="D37">
        <v>7.4767999999999999</v>
      </c>
      <c r="E37">
        <v>1.0508999999999999</v>
      </c>
      <c r="F37">
        <v>1.4201999999999999</v>
      </c>
      <c r="G37">
        <v>1.4593</v>
      </c>
      <c r="K37" s="17"/>
      <c r="L37" s="17"/>
      <c r="M37" s="17"/>
      <c r="N37" s="17"/>
      <c r="O37" s="17"/>
      <c r="P37" s="17"/>
      <c r="Y37" s="11"/>
    </row>
    <row r="38" spans="1:87">
      <c r="A38" s="581" t="s">
        <v>1556</v>
      </c>
      <c r="B38">
        <v>1.7802</v>
      </c>
      <c r="C38">
        <v>0.24399999999999999</v>
      </c>
      <c r="D38">
        <v>4.9450000000000003</v>
      </c>
      <c r="E38">
        <v>0.93789999999999996</v>
      </c>
      <c r="F38">
        <v>2.2282999999999999</v>
      </c>
      <c r="G38">
        <v>2.7391999999999999</v>
      </c>
      <c r="Y38" s="11"/>
    </row>
    <row r="39" spans="1:87">
      <c r="A39" s="581" t="s">
        <v>1557</v>
      </c>
      <c r="B39">
        <v>1.6317999999999999</v>
      </c>
      <c r="C39">
        <v>0.24340000000000001</v>
      </c>
      <c r="D39">
        <v>6.2276999999999996</v>
      </c>
      <c r="E39">
        <v>0.95709999999999995</v>
      </c>
      <c r="F39">
        <v>1.7779</v>
      </c>
      <c r="G39">
        <v>1.7577</v>
      </c>
      <c r="Y39" s="11"/>
    </row>
    <row r="40" spans="1:87">
      <c r="A40" s="581" t="s">
        <v>1558</v>
      </c>
      <c r="B40">
        <v>1.9758</v>
      </c>
      <c r="C40">
        <v>0.30609999999999998</v>
      </c>
      <c r="D40">
        <v>5.3689</v>
      </c>
      <c r="E40">
        <v>0.91930000000000001</v>
      </c>
      <c r="F40">
        <v>2.2075999999999998</v>
      </c>
      <c r="G40">
        <v>4.1161000000000003</v>
      </c>
      <c r="N40" s="12"/>
      <c r="O40" s="14"/>
      <c r="Q40" s="12"/>
      <c r="Y40" s="11"/>
    </row>
    <row r="41" spans="1:87">
      <c r="A41" s="581" t="s">
        <v>1559</v>
      </c>
      <c r="B41">
        <v>1.5793999999999999</v>
      </c>
      <c r="C41">
        <v>0.16159999999999999</v>
      </c>
      <c r="D41">
        <v>2.9861</v>
      </c>
      <c r="E41">
        <v>0.91210000000000002</v>
      </c>
      <c r="F41">
        <v>2.331</v>
      </c>
      <c r="G41">
        <v>3.1898</v>
      </c>
      <c r="N41" s="12"/>
      <c r="O41" s="14"/>
      <c r="Q41" s="12"/>
      <c r="Y41" s="11"/>
    </row>
    <row r="42" spans="1:87">
      <c r="A42" s="581" t="s">
        <v>1560</v>
      </c>
      <c r="B42">
        <v>1.6827000000000001</v>
      </c>
      <c r="C42">
        <v>0.19120000000000001</v>
      </c>
      <c r="D42">
        <v>3.6976</v>
      </c>
      <c r="E42">
        <v>0.89159999999999995</v>
      </c>
      <c r="F42">
        <v>2.5135999999999998</v>
      </c>
      <c r="G42">
        <v>3.7303999999999999</v>
      </c>
      <c r="Y42" s="11"/>
    </row>
    <row r="43" spans="1:87">
      <c r="A43" s="581" t="s">
        <v>1561</v>
      </c>
      <c r="B43">
        <v>1.7195</v>
      </c>
      <c r="C43">
        <v>0.22140000000000001</v>
      </c>
      <c r="D43">
        <v>4.3689</v>
      </c>
      <c r="E43">
        <v>0.98280000000000001</v>
      </c>
      <c r="F43">
        <v>2.1985999999999999</v>
      </c>
      <c r="G43">
        <v>2.6686999999999999</v>
      </c>
      <c r="Q43" s="12"/>
      <c r="Y43" s="11"/>
    </row>
    <row r="44" spans="1:87">
      <c r="A44" s="581" t="s">
        <v>1562</v>
      </c>
      <c r="B44">
        <v>2.0529999999999999</v>
      </c>
      <c r="C44">
        <v>0.34849999999999998</v>
      </c>
      <c r="D44">
        <v>6.9767000000000001</v>
      </c>
      <c r="E44">
        <v>0.97419999999999995</v>
      </c>
      <c r="F44">
        <v>2.0125000000000002</v>
      </c>
      <c r="G44">
        <v>2.3607</v>
      </c>
      <c r="Y44" s="11"/>
    </row>
    <row r="45" spans="1:87">
      <c r="A45" s="581" t="s">
        <v>1563</v>
      </c>
      <c r="B45">
        <v>1.6440999999999999</v>
      </c>
      <c r="C45">
        <v>0.29580000000000001</v>
      </c>
      <c r="D45">
        <v>5.1871</v>
      </c>
      <c r="E45">
        <v>1.048</v>
      </c>
      <c r="F45">
        <v>1.6235999999999999</v>
      </c>
      <c r="G45">
        <v>1.9480999999999999</v>
      </c>
      <c r="Q45" s="12"/>
      <c r="Y45" s="11"/>
    </row>
    <row r="46" spans="1:87">
      <c r="A46" s="581" t="s">
        <v>1564</v>
      </c>
      <c r="B46">
        <v>2.0158</v>
      </c>
      <c r="C46">
        <v>0.25829999999999997</v>
      </c>
      <c r="D46">
        <v>8.7668999999999997</v>
      </c>
      <c r="E46">
        <v>0.93130000000000002</v>
      </c>
      <c r="F46">
        <v>2.9114</v>
      </c>
      <c r="G46">
        <v>1.6783999999999999</v>
      </c>
      <c r="Q46" s="16"/>
      <c r="Y46" s="11"/>
    </row>
    <row r="47" spans="1:87">
      <c r="A47" s="581" t="s">
        <v>1565</v>
      </c>
      <c r="B47">
        <v>1.4432</v>
      </c>
      <c r="C47">
        <v>0.1193</v>
      </c>
      <c r="D47">
        <v>6.0853000000000002</v>
      </c>
      <c r="E47">
        <v>0.96089999999999998</v>
      </c>
      <c r="F47">
        <v>2.2134999999999998</v>
      </c>
      <c r="G47">
        <v>1.3762000000000001</v>
      </c>
      <c r="Q47" s="16"/>
      <c r="Y47" s="11"/>
    </row>
    <row r="48" spans="1:87">
      <c r="A48" s="581" t="s">
        <v>1566</v>
      </c>
      <c r="B48">
        <v>1.6313</v>
      </c>
      <c r="C48">
        <v>0.2954</v>
      </c>
      <c r="D48">
        <v>5.2742000000000004</v>
      </c>
      <c r="E48">
        <v>1.1154999999999999</v>
      </c>
      <c r="F48">
        <v>1.5630999999999999</v>
      </c>
      <c r="G48">
        <v>1.9359999999999999</v>
      </c>
      <c r="Y48" s="11"/>
    </row>
    <row r="49" spans="1:25">
      <c r="A49" s="581" t="s">
        <v>1567</v>
      </c>
      <c r="B49">
        <v>1.6061000000000001</v>
      </c>
      <c r="C49">
        <v>0.36430000000000001</v>
      </c>
      <c r="D49">
        <v>6.4561999999999999</v>
      </c>
      <c r="E49">
        <v>1.0857000000000001</v>
      </c>
      <c r="F49">
        <v>1.4109</v>
      </c>
      <c r="G49">
        <v>1.7326999999999999</v>
      </c>
      <c r="Y49" s="11"/>
    </row>
    <row r="50" spans="1:25">
      <c r="A50" s="581" t="s">
        <v>1568</v>
      </c>
      <c r="B50">
        <v>1.6229</v>
      </c>
      <c r="C50">
        <v>0.2742</v>
      </c>
      <c r="D50">
        <v>4.0702999999999996</v>
      </c>
      <c r="E50">
        <v>1.0213000000000001</v>
      </c>
      <c r="F50">
        <v>1.6653</v>
      </c>
      <c r="G50">
        <v>2.6657000000000002</v>
      </c>
      <c r="Y50" s="11"/>
    </row>
    <row r="51" spans="1:25">
      <c r="A51" s="581" t="s">
        <v>1569</v>
      </c>
      <c r="B51">
        <v>1.5962000000000001</v>
      </c>
      <c r="C51">
        <v>0.33250000000000002</v>
      </c>
      <c r="D51">
        <v>11.299200000000001</v>
      </c>
      <c r="E51">
        <v>1.0327999999999999</v>
      </c>
      <c r="F51">
        <v>1.4480999999999999</v>
      </c>
      <c r="G51">
        <v>1.3079000000000001</v>
      </c>
      <c r="Y51" s="11"/>
    </row>
    <row r="52" spans="1:25">
      <c r="A52" s="581" t="s">
        <v>1570</v>
      </c>
      <c r="B52">
        <v>1.7282</v>
      </c>
      <c r="C52">
        <v>0.40339999999999998</v>
      </c>
      <c r="D52">
        <v>7.6009000000000002</v>
      </c>
      <c r="E52">
        <v>0.95399999999999996</v>
      </c>
      <c r="F52">
        <v>1.4926999999999999</v>
      </c>
      <c r="G52">
        <v>1.7430000000000001</v>
      </c>
      <c r="Y52" s="11"/>
    </row>
    <row r="53" spans="1:25">
      <c r="A53" s="581" t="s">
        <v>1571</v>
      </c>
      <c r="B53">
        <v>1.7119</v>
      </c>
      <c r="C53">
        <v>0.4526</v>
      </c>
      <c r="D53">
        <v>14.5184</v>
      </c>
      <c r="E53">
        <v>1.0884</v>
      </c>
      <c r="F53">
        <v>1.3382000000000001</v>
      </c>
      <c r="G53">
        <v>1.2775000000000001</v>
      </c>
      <c r="K53" s="17"/>
      <c r="N53" s="17"/>
      <c r="O53" s="17"/>
      <c r="P53" s="17"/>
      <c r="Y53" s="11"/>
    </row>
    <row r="54" spans="1:25">
      <c r="A54" s="581" t="s">
        <v>1572</v>
      </c>
      <c r="B54">
        <v>1.7334000000000001</v>
      </c>
      <c r="C54">
        <v>0.4708</v>
      </c>
      <c r="D54">
        <v>8.8501999999999992</v>
      </c>
      <c r="E54">
        <v>1.1364000000000001</v>
      </c>
      <c r="F54">
        <v>1.3779999999999999</v>
      </c>
      <c r="G54">
        <v>1.595</v>
      </c>
      <c r="K54" s="17"/>
      <c r="N54" s="12"/>
      <c r="O54" s="12"/>
      <c r="Y54" s="11"/>
    </row>
    <row r="55" spans="1:25">
      <c r="A55" s="581" t="s">
        <v>1573</v>
      </c>
      <c r="B55">
        <v>1.8304</v>
      </c>
      <c r="C55">
        <v>0.40550000000000003</v>
      </c>
      <c r="D55">
        <v>8.4252000000000002</v>
      </c>
      <c r="E55">
        <v>1.0467</v>
      </c>
      <c r="F55">
        <v>1.4718</v>
      </c>
      <c r="G55">
        <v>1.7265999999999999</v>
      </c>
      <c r="K55" s="17"/>
      <c r="N55" s="12"/>
      <c r="O55" s="12"/>
      <c r="Y55" s="11"/>
    </row>
    <row r="56" spans="1:25">
      <c r="A56" s="581" t="s">
        <v>1574</v>
      </c>
      <c r="B56">
        <v>1.6137999999999999</v>
      </c>
      <c r="C56">
        <v>0.35699999999999998</v>
      </c>
      <c r="D56">
        <v>11.0975</v>
      </c>
      <c r="E56">
        <v>1.0496000000000001</v>
      </c>
      <c r="F56">
        <v>1.3907</v>
      </c>
      <c r="G56">
        <v>1.3240000000000001</v>
      </c>
      <c r="K56" s="17"/>
      <c r="Y56" s="11"/>
    </row>
    <row r="57" spans="1:25">
      <c r="A57" s="581" t="s">
        <v>1575</v>
      </c>
      <c r="B57">
        <v>1.7556</v>
      </c>
      <c r="C57">
        <v>0.4592</v>
      </c>
      <c r="D57">
        <v>18.414899999999999</v>
      </c>
      <c r="E57">
        <v>1.0885</v>
      </c>
      <c r="F57">
        <v>1.3784000000000001</v>
      </c>
      <c r="G57">
        <v>1.2233000000000001</v>
      </c>
      <c r="Y57" s="11"/>
    </row>
    <row r="58" spans="1:25">
      <c r="A58" s="581" t="s">
        <v>1576</v>
      </c>
      <c r="B58">
        <v>1.8660000000000001</v>
      </c>
      <c r="C58">
        <v>0.37290000000000001</v>
      </c>
      <c r="D58">
        <v>12.0373</v>
      </c>
      <c r="E58">
        <v>1.1172</v>
      </c>
      <c r="F58">
        <v>1.7391000000000001</v>
      </c>
      <c r="G58">
        <v>1.5499000000000001</v>
      </c>
      <c r="Y58" s="11"/>
    </row>
    <row r="59" spans="1:25">
      <c r="A59" s="581" t="s">
        <v>1577</v>
      </c>
      <c r="B59">
        <v>1.6104000000000001</v>
      </c>
      <c r="C59">
        <v>0.3468</v>
      </c>
      <c r="D59">
        <v>16.688099999999999</v>
      </c>
      <c r="E59">
        <v>1.0202</v>
      </c>
      <c r="F59">
        <v>1.4058999999999999</v>
      </c>
      <c r="G59">
        <v>1.1835</v>
      </c>
      <c r="N59" s="12"/>
      <c r="O59" s="14"/>
      <c r="Q59" s="12"/>
      <c r="Y59" s="11"/>
    </row>
    <row r="60" spans="1:25">
      <c r="A60" s="581" t="s">
        <v>1578</v>
      </c>
      <c r="B60">
        <v>1.665</v>
      </c>
      <c r="C60">
        <v>0.23430000000000001</v>
      </c>
      <c r="D60">
        <v>6.3246000000000002</v>
      </c>
      <c r="E60">
        <v>0.94059999999999999</v>
      </c>
      <c r="F60">
        <v>1.966</v>
      </c>
      <c r="G60">
        <v>1.7794000000000001</v>
      </c>
      <c r="N60" s="12"/>
      <c r="O60" s="14"/>
      <c r="Q60" s="12"/>
      <c r="Y60" s="11"/>
    </row>
    <row r="61" spans="1:25">
      <c r="A61" s="581" t="s">
        <v>1579</v>
      </c>
      <c r="B61">
        <v>1.6615</v>
      </c>
      <c r="C61">
        <v>0.31169999999999998</v>
      </c>
      <c r="D61">
        <v>13.3781</v>
      </c>
      <c r="E61">
        <v>0.9254</v>
      </c>
      <c r="F61">
        <v>1.5051000000000001</v>
      </c>
      <c r="G61">
        <v>1.2391000000000001</v>
      </c>
      <c r="Y61" s="11"/>
    </row>
    <row r="62" spans="1:25">
      <c r="A62" s="581" t="s">
        <v>1580</v>
      </c>
      <c r="B62">
        <v>1.7857000000000001</v>
      </c>
      <c r="C62">
        <v>0.43340000000000001</v>
      </c>
      <c r="D62">
        <v>11.090400000000001</v>
      </c>
      <c r="E62">
        <v>1.0241</v>
      </c>
      <c r="F62">
        <v>1.4472</v>
      </c>
      <c r="G62">
        <v>1.4430000000000001</v>
      </c>
      <c r="Q62" s="12"/>
      <c r="Y62" s="11"/>
    </row>
    <row r="63" spans="1:25">
      <c r="A63" s="581" t="s">
        <v>1581</v>
      </c>
      <c r="B63">
        <v>1.006</v>
      </c>
      <c r="C63">
        <v>0.17560000000000001</v>
      </c>
      <c r="D63">
        <v>4.9435000000000002</v>
      </c>
      <c r="E63">
        <v>0.61270000000000002</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sheetPr codeName="Sheet45">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1.6220000000000001</v>
      </c>
      <c r="C2">
        <v>0.43409999999999999</v>
      </c>
      <c r="D2">
        <v>20.492799999999999</v>
      </c>
      <c r="E2">
        <v>0.77229999999999999</v>
      </c>
      <c r="F2">
        <v>1.3751</v>
      </c>
      <c r="G2">
        <v>1.2078</v>
      </c>
    </row>
    <row r="3" spans="1:87">
      <c r="A3" s="581" t="s">
        <v>1521</v>
      </c>
      <c r="B3">
        <v>1.7149000000000001</v>
      </c>
      <c r="C3">
        <v>0.67169999999999996</v>
      </c>
      <c r="D3">
        <v>31.3705</v>
      </c>
      <c r="E3">
        <v>1.0418000000000001</v>
      </c>
      <c r="F3">
        <v>1.2502</v>
      </c>
      <c r="G3">
        <v>1.1334</v>
      </c>
    </row>
    <row r="4" spans="1:87">
      <c r="A4" s="581" t="s">
        <v>1522</v>
      </c>
      <c r="B4">
        <v>1</v>
      </c>
      <c r="C4">
        <v>0</v>
      </c>
      <c r="D4">
        <v>0</v>
      </c>
      <c r="E4">
        <v>0</v>
      </c>
      <c r="F4">
        <v>0</v>
      </c>
      <c r="G4">
        <v>0</v>
      </c>
      <c r="N4" s="17"/>
      <c r="U4" s="21"/>
      <c r="X4" s="21"/>
    </row>
    <row r="5" spans="1:87">
      <c r="A5" s="581" t="s">
        <v>1523</v>
      </c>
      <c r="B5">
        <v>1</v>
      </c>
      <c r="C5">
        <v>0</v>
      </c>
      <c r="D5">
        <v>0</v>
      </c>
      <c r="E5">
        <v>0</v>
      </c>
      <c r="F5">
        <v>0</v>
      </c>
      <c r="G5">
        <v>0</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1.6828000000000001</v>
      </c>
      <c r="C6">
        <v>0.2949</v>
      </c>
      <c r="D6">
        <v>6.5843999999999996</v>
      </c>
      <c r="E6">
        <v>0.81399999999999995</v>
      </c>
      <c r="F6">
        <v>1.8015000000000001</v>
      </c>
      <c r="G6">
        <v>1.7203999999999999</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1.2412000000000001</v>
      </c>
      <c r="C7">
        <v>0.16350000000000001</v>
      </c>
      <c r="D7">
        <v>2.2684000000000002</v>
      </c>
      <c r="E7">
        <v>0.84</v>
      </c>
      <c r="F7">
        <v>1.4204000000000001</v>
      </c>
      <c r="G7">
        <v>2.0337000000000001</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1.6927000000000001</v>
      </c>
      <c r="C8">
        <v>0.36380000000000001</v>
      </c>
      <c r="D8">
        <v>7.6132</v>
      </c>
      <c r="E8">
        <v>0.93049999999999999</v>
      </c>
      <c r="F8">
        <v>1.5598000000000001</v>
      </c>
      <c r="G8">
        <v>1.6955</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1.5054000000000001</v>
      </c>
      <c r="C9">
        <v>0.1517</v>
      </c>
      <c r="D9">
        <v>3.5598999999999998</v>
      </c>
      <c r="E9">
        <v>0.62980000000000003</v>
      </c>
      <c r="F9">
        <v>2.5306999999999999</v>
      </c>
      <c r="G9">
        <v>2.2307000000000001</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1.5627</v>
      </c>
      <c r="C10">
        <v>0.19450000000000001</v>
      </c>
      <c r="D10">
        <v>4.0998000000000001</v>
      </c>
      <c r="E10">
        <v>0.72009999999999996</v>
      </c>
      <c r="F10">
        <v>2.1156000000000001</v>
      </c>
      <c r="G10">
        <v>2.2208000000000001</v>
      </c>
      <c r="U10" s="13"/>
      <c r="V10" s="23"/>
      <c r="W10" s="26"/>
      <c r="Y10" s="11"/>
      <c r="AM10" s="12"/>
      <c r="AV10" s="12"/>
      <c r="BE10" s="12"/>
      <c r="BN10" s="12"/>
      <c r="BW10" s="12"/>
      <c r="CF10" s="12"/>
    </row>
    <row r="11" spans="1:87">
      <c r="A11" s="581" t="s">
        <v>1529</v>
      </c>
      <c r="B11">
        <v>1.6075999999999999</v>
      </c>
      <c r="C11">
        <v>0.21360000000000001</v>
      </c>
      <c r="D11">
        <v>4.9166999999999996</v>
      </c>
      <c r="E11">
        <v>0.5302</v>
      </c>
      <c r="F11">
        <v>2.0007000000000001</v>
      </c>
      <c r="G11">
        <v>1.9245000000000001</v>
      </c>
      <c r="U11" s="13"/>
      <c r="V11" s="23"/>
      <c r="Y11" s="11"/>
      <c r="AM11" s="12"/>
      <c r="AP11" s="12"/>
      <c r="AV11" s="12"/>
      <c r="AY11" s="12"/>
      <c r="BE11" s="12"/>
      <c r="BH11" s="12"/>
      <c r="BN11" s="12"/>
      <c r="BQ11" s="12"/>
      <c r="BW11" s="12"/>
      <c r="BZ11" s="12"/>
      <c r="CF11" s="12"/>
      <c r="CI11" s="12"/>
    </row>
    <row r="12" spans="1:87">
      <c r="A12" s="581" t="s">
        <v>1530</v>
      </c>
      <c r="B12">
        <v>1.6254999999999999</v>
      </c>
      <c r="C12">
        <v>0.2949</v>
      </c>
      <c r="D12">
        <v>5.8178999999999998</v>
      </c>
      <c r="E12">
        <v>0.7913</v>
      </c>
      <c r="F12">
        <v>1.6334</v>
      </c>
      <c r="G12">
        <v>1.8246</v>
      </c>
      <c r="N12" s="15"/>
      <c r="U12" s="13"/>
      <c r="V12" s="23"/>
      <c r="Y12" s="11"/>
      <c r="AM12" s="12"/>
      <c r="AV12" s="12"/>
      <c r="BE12" s="12"/>
      <c r="BN12" s="12"/>
      <c r="BW12" s="12"/>
      <c r="CF12" s="12"/>
    </row>
    <row r="13" spans="1:87">
      <c r="A13" s="581" t="s">
        <v>1531</v>
      </c>
      <c r="B13">
        <v>1.5731999999999999</v>
      </c>
      <c r="C13">
        <v>0.30380000000000001</v>
      </c>
      <c r="D13">
        <v>5.0644</v>
      </c>
      <c r="E13">
        <v>0.78890000000000005</v>
      </c>
      <c r="F13">
        <v>1.5371999999999999</v>
      </c>
      <c r="G13">
        <v>1.8915</v>
      </c>
      <c r="N13" s="16"/>
      <c r="U13" s="13"/>
      <c r="V13" s="23"/>
      <c r="Y13" s="11"/>
      <c r="AM13" s="12"/>
      <c r="AV13" s="12"/>
      <c r="BE13" s="12"/>
      <c r="BN13" s="12"/>
      <c r="BW13" s="12"/>
      <c r="CF13" s="12"/>
    </row>
    <row r="14" spans="1:87">
      <c r="A14" s="581" t="s">
        <v>1532</v>
      </c>
      <c r="B14">
        <v>1.4559</v>
      </c>
      <c r="C14">
        <v>0.34310000000000002</v>
      </c>
      <c r="D14">
        <v>5.4029999999999996</v>
      </c>
      <c r="E14">
        <v>0.98399999999999999</v>
      </c>
      <c r="F14">
        <v>1.3540000000000001</v>
      </c>
      <c r="G14">
        <v>1.6501999999999999</v>
      </c>
      <c r="N14" s="16"/>
      <c r="U14" s="13"/>
      <c r="V14" s="23"/>
      <c r="Y14" s="11"/>
      <c r="AM14" s="12"/>
      <c r="AV14" s="12"/>
      <c r="BE14" s="12"/>
      <c r="BN14" s="12"/>
      <c r="BW14" s="12"/>
      <c r="CF14" s="12"/>
    </row>
    <row r="15" spans="1:87">
      <c r="A15" s="581" t="s">
        <v>1533</v>
      </c>
      <c r="B15">
        <v>1.4678</v>
      </c>
      <c r="C15">
        <v>0.18390000000000001</v>
      </c>
      <c r="D15">
        <v>3.4398</v>
      </c>
      <c r="E15">
        <v>0.65449999999999997</v>
      </c>
      <c r="F15">
        <v>1.8458000000000001</v>
      </c>
      <c r="G15">
        <v>2.0684999999999998</v>
      </c>
      <c r="N15" s="15"/>
      <c r="U15" s="13"/>
      <c r="V15" s="23"/>
      <c r="Y15" s="11"/>
      <c r="AM15" s="12"/>
      <c r="AV15" s="12"/>
    </row>
    <row r="16" spans="1:87">
      <c r="A16" s="581" t="s">
        <v>1534</v>
      </c>
      <c r="B16">
        <v>1.6084000000000001</v>
      </c>
      <c r="C16">
        <v>0.18490000000000001</v>
      </c>
      <c r="D16">
        <v>4.2539999999999996</v>
      </c>
      <c r="E16">
        <v>0.48909999999999998</v>
      </c>
      <c r="F16">
        <v>2.5587</v>
      </c>
      <c r="G16">
        <v>2.2029999999999998</v>
      </c>
      <c r="U16" s="13"/>
      <c r="V16" s="23"/>
      <c r="Y16" s="11"/>
      <c r="AM16" s="12"/>
      <c r="AV16" s="12"/>
      <c r="BE16" s="12"/>
      <c r="BN16" s="12"/>
      <c r="BW16" s="12"/>
      <c r="CF16" s="12"/>
    </row>
    <row r="17" spans="1:87">
      <c r="A17" s="581" t="s">
        <v>1535</v>
      </c>
      <c r="B17">
        <v>1.4459</v>
      </c>
      <c r="C17">
        <v>0.1777</v>
      </c>
      <c r="D17">
        <v>4.3822000000000001</v>
      </c>
      <c r="E17">
        <v>0.56630000000000003</v>
      </c>
      <c r="F17">
        <v>1.8335999999999999</v>
      </c>
      <c r="G17">
        <v>1.6975</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1.5470999999999999</v>
      </c>
      <c r="C18">
        <v>0.24859999999999999</v>
      </c>
      <c r="D18">
        <v>5.0209000000000001</v>
      </c>
      <c r="E18">
        <v>0.81710000000000005</v>
      </c>
      <c r="F18">
        <v>1.647</v>
      </c>
      <c r="G18">
        <v>1.8005</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1.5306999999999999</v>
      </c>
      <c r="C19">
        <v>0.26619999999999999</v>
      </c>
      <c r="D19">
        <v>4.5279999999999996</v>
      </c>
      <c r="E19">
        <v>0.88729999999999998</v>
      </c>
      <c r="F19">
        <v>1.5668</v>
      </c>
      <c r="G19">
        <v>1.931</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1.6105</v>
      </c>
      <c r="C20">
        <v>0.18970000000000001</v>
      </c>
      <c r="D20">
        <v>4.4085999999999999</v>
      </c>
      <c r="E20">
        <v>0.59109999999999996</v>
      </c>
      <c r="F20">
        <v>2.3548</v>
      </c>
      <c r="G20">
        <v>2.4527999999999999</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1.4475</v>
      </c>
      <c r="C21">
        <v>0.1986</v>
      </c>
      <c r="D21">
        <v>4.7210000000000001</v>
      </c>
      <c r="E21">
        <v>0.57899999999999996</v>
      </c>
      <c r="F21">
        <v>1.6969000000000001</v>
      </c>
      <c r="G21">
        <v>1.6308</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1.5616000000000001</v>
      </c>
      <c r="C22">
        <v>0.46910000000000002</v>
      </c>
      <c r="D22">
        <v>12.8261</v>
      </c>
      <c r="E22">
        <v>0.99450000000000005</v>
      </c>
      <c r="F22">
        <v>1.3026</v>
      </c>
      <c r="G22">
        <v>1.28</v>
      </c>
      <c r="K22" s="17"/>
      <c r="L22" s="17"/>
      <c r="M22" s="17"/>
      <c r="N22" s="17"/>
      <c r="O22" s="17"/>
      <c r="P22" s="17"/>
      <c r="U22" s="13"/>
      <c r="V22" s="23"/>
      <c r="Y22" s="11"/>
      <c r="AM22" s="12"/>
      <c r="AV22" s="12"/>
      <c r="BE22" s="12"/>
      <c r="BN22" s="12"/>
      <c r="BW22" s="12"/>
      <c r="CF22" s="12"/>
    </row>
    <row r="23" spans="1:87">
      <c r="A23" s="581" t="s">
        <v>1541</v>
      </c>
      <c r="B23">
        <v>1.4857</v>
      </c>
      <c r="C23">
        <v>0.1973</v>
      </c>
      <c r="D23">
        <v>3.6478999999999999</v>
      </c>
      <c r="E23">
        <v>0.61439999999999995</v>
      </c>
      <c r="F23">
        <v>1.7824</v>
      </c>
      <c r="G23">
        <v>2.0455999999999999</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1.6794</v>
      </c>
      <c r="C24">
        <v>0.24049999999999999</v>
      </c>
      <c r="D24">
        <v>5.3414999999999999</v>
      </c>
      <c r="E24">
        <v>0.75719999999999998</v>
      </c>
      <c r="F24">
        <v>2.0910000000000002</v>
      </c>
      <c r="G24">
        <v>2.1244999999999998</v>
      </c>
      <c r="K24" s="17"/>
      <c r="L24" s="17"/>
      <c r="M24" s="17"/>
      <c r="N24" s="18"/>
      <c r="O24" s="18"/>
      <c r="P24" s="17"/>
      <c r="R24" s="11"/>
      <c r="U24" s="13"/>
      <c r="V24" s="23"/>
      <c r="Y24" s="11"/>
      <c r="AM24" s="12"/>
      <c r="AV24" s="12"/>
      <c r="BE24" s="12"/>
      <c r="BN24" s="12"/>
      <c r="BW24" s="12"/>
      <c r="CF24" s="12"/>
    </row>
    <row r="25" spans="1:87">
      <c r="A25" s="581" t="s">
        <v>1543</v>
      </c>
      <c r="B25">
        <v>1.1242000000000001</v>
      </c>
      <c r="C25">
        <v>9.8599999999999993E-2</v>
      </c>
      <c r="D25">
        <v>1.26</v>
      </c>
      <c r="E25">
        <v>0.3427</v>
      </c>
      <c r="F25">
        <v>1.3073999999999999</v>
      </c>
      <c r="G25">
        <v>1.8099000000000001</v>
      </c>
      <c r="K25" s="17"/>
      <c r="L25" s="17"/>
      <c r="M25" s="17"/>
      <c r="N25" s="18"/>
      <c r="O25" s="17"/>
      <c r="P25" s="17"/>
      <c r="U25" s="13"/>
      <c r="V25" s="23"/>
      <c r="Y25" s="11"/>
      <c r="AM25" s="12"/>
      <c r="AV25" s="12"/>
      <c r="BE25" s="12"/>
      <c r="BN25" s="12"/>
      <c r="BW25" s="12"/>
      <c r="CF25" s="12"/>
    </row>
    <row r="26" spans="1:87">
      <c r="A26" s="581" t="s">
        <v>1544</v>
      </c>
      <c r="B26">
        <v>1.4761</v>
      </c>
      <c r="C26">
        <v>0.17799999999999999</v>
      </c>
      <c r="D26">
        <v>2.5968</v>
      </c>
      <c r="E26">
        <v>0.62009999999999998</v>
      </c>
      <c r="F26">
        <v>1.867</v>
      </c>
      <c r="G26">
        <v>2.7532999999999999</v>
      </c>
      <c r="Y26" s="11"/>
      <c r="AM26" s="12"/>
      <c r="AV26" s="12"/>
      <c r="BE26" s="12"/>
      <c r="BN26" s="12"/>
      <c r="BW26" s="12"/>
      <c r="CF26" s="12"/>
    </row>
    <row r="27" spans="1:87">
      <c r="A27" s="581" t="s">
        <v>1545</v>
      </c>
      <c r="B27">
        <v>1.5228999999999999</v>
      </c>
      <c r="C27">
        <v>0.1731</v>
      </c>
      <c r="D27">
        <v>3.4992999999999999</v>
      </c>
      <c r="E27">
        <v>0.66120000000000001</v>
      </c>
      <c r="F27">
        <v>2.0211999999999999</v>
      </c>
      <c r="G27">
        <v>2.0847000000000002</v>
      </c>
      <c r="M27" s="12"/>
      <c r="Y27" s="11"/>
      <c r="AM27" s="12"/>
      <c r="AV27" s="12"/>
    </row>
    <row r="28" spans="1:87">
      <c r="A28" s="581" t="s">
        <v>1546</v>
      </c>
      <c r="B28">
        <v>1.5214000000000001</v>
      </c>
      <c r="C28">
        <v>0.26889999999999997</v>
      </c>
      <c r="D28">
        <v>4.7828999999999997</v>
      </c>
      <c r="E28">
        <v>0.97230000000000005</v>
      </c>
      <c r="F28">
        <v>1.6148</v>
      </c>
      <c r="G28">
        <v>2.0613000000000001</v>
      </c>
      <c r="M28" s="13"/>
      <c r="N28" s="12"/>
      <c r="O28" s="14"/>
      <c r="Q28" s="12"/>
      <c r="Y28" s="11"/>
      <c r="AM28" s="12"/>
      <c r="AV28" s="12"/>
      <c r="BE28" s="12"/>
      <c r="BN28" s="12"/>
      <c r="BW28" s="12"/>
      <c r="CF28" s="12"/>
    </row>
    <row r="29" spans="1:87">
      <c r="A29" s="581" t="s">
        <v>1547</v>
      </c>
      <c r="B29">
        <v>1.5670999999999999</v>
      </c>
      <c r="C29">
        <v>0.31619999999999998</v>
      </c>
      <c r="D29">
        <v>10.2692</v>
      </c>
      <c r="E29">
        <v>1.0121</v>
      </c>
      <c r="F29">
        <v>1.4894000000000001</v>
      </c>
      <c r="G29">
        <v>1.3548</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1.5196000000000001</v>
      </c>
      <c r="C30">
        <v>0.26879999999999998</v>
      </c>
      <c r="D30">
        <v>5.4025999999999996</v>
      </c>
      <c r="E30">
        <v>0.75029999999999997</v>
      </c>
      <c r="F30">
        <v>1.6881999999999999</v>
      </c>
      <c r="G30">
        <v>2.0783</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1.6063000000000001</v>
      </c>
      <c r="C31">
        <v>0.16489999999999999</v>
      </c>
      <c r="D31">
        <v>3.1009000000000002</v>
      </c>
      <c r="E31">
        <v>0.78779999999999994</v>
      </c>
      <c r="F31">
        <v>3.3024</v>
      </c>
      <c r="G31">
        <v>4.7221000000000002</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v>
      </c>
      <c r="C32">
        <v>0</v>
      </c>
      <c r="D32">
        <v>0</v>
      </c>
      <c r="E32">
        <v>0</v>
      </c>
      <c r="F32">
        <v>0</v>
      </c>
      <c r="G32">
        <v>0</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1.6016999999999999</v>
      </c>
      <c r="C33">
        <v>0.29520000000000002</v>
      </c>
      <c r="D33">
        <v>6.8910999999999998</v>
      </c>
      <c r="E33">
        <v>0.82850000000000001</v>
      </c>
      <c r="F33">
        <v>1.6835</v>
      </c>
      <c r="G33">
        <v>1.7996000000000001</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1.4783999999999999</v>
      </c>
      <c r="C34">
        <v>0.41510000000000002</v>
      </c>
      <c r="D34">
        <v>12.415699999999999</v>
      </c>
      <c r="E34">
        <v>0.99639999999999995</v>
      </c>
      <c r="F34">
        <v>1.2765</v>
      </c>
      <c r="G34">
        <v>1.23</v>
      </c>
      <c r="K34" s="17"/>
      <c r="L34" s="17"/>
      <c r="M34" s="17"/>
      <c r="N34" s="17"/>
      <c r="O34" s="17"/>
      <c r="P34" s="17"/>
      <c r="Y34" s="11"/>
      <c r="AM34" s="12"/>
      <c r="AV34" s="12"/>
      <c r="BE34" s="12"/>
      <c r="BN34" s="12"/>
      <c r="BW34" s="12"/>
      <c r="CF34" s="12"/>
    </row>
    <row r="35" spans="1:87">
      <c r="A35" s="581" t="s">
        <v>1553</v>
      </c>
      <c r="B35">
        <v>1.8392999999999999</v>
      </c>
      <c r="C35">
        <v>0.63959999999999995</v>
      </c>
      <c r="D35">
        <v>9.6270000000000007</v>
      </c>
      <c r="E35">
        <v>1.1263000000000001</v>
      </c>
      <c r="F35">
        <v>1.3455999999999999</v>
      </c>
      <c r="G35">
        <v>1.7703</v>
      </c>
      <c r="K35" s="17"/>
      <c r="L35" s="17"/>
      <c r="M35" s="17"/>
      <c r="N35" s="18"/>
      <c r="O35" s="18"/>
      <c r="P35" s="17"/>
      <c r="Y35" s="11"/>
      <c r="AM35" s="12"/>
      <c r="AP35" s="12"/>
      <c r="AV35" s="12"/>
      <c r="AY35" s="12"/>
      <c r="BE35" s="12"/>
      <c r="BH35" s="12"/>
      <c r="BN35" s="12"/>
      <c r="BQ35" s="12"/>
      <c r="BW35" s="12"/>
      <c r="BZ35" s="12"/>
      <c r="CF35" s="12"/>
      <c r="CI35" s="12"/>
    </row>
    <row r="36" spans="1:87">
      <c r="A36" s="581" t="s">
        <v>1554</v>
      </c>
      <c r="B36">
        <v>1.5634999999999999</v>
      </c>
      <c r="C36">
        <v>0.43130000000000002</v>
      </c>
      <c r="D36">
        <v>9.5195000000000007</v>
      </c>
      <c r="E36">
        <v>1.0414000000000001</v>
      </c>
      <c r="F36">
        <v>1.3541000000000001</v>
      </c>
      <c r="G36">
        <v>1.4583999999999999</v>
      </c>
      <c r="K36" s="17"/>
      <c r="L36" s="17"/>
      <c r="M36" s="17"/>
      <c r="N36" s="18"/>
      <c r="O36" s="18"/>
      <c r="P36" s="17"/>
      <c r="Y36" s="11"/>
      <c r="AM36" s="12"/>
      <c r="AV36" s="12"/>
      <c r="BE36" s="12"/>
      <c r="BN36" s="12"/>
      <c r="BW36" s="12"/>
      <c r="CF36" s="12"/>
    </row>
    <row r="37" spans="1:87">
      <c r="A37" s="581" t="s">
        <v>1555</v>
      </c>
      <c r="B37">
        <v>1.5852999999999999</v>
      </c>
      <c r="C37">
        <v>0.39369999999999999</v>
      </c>
      <c r="D37">
        <v>9.9915000000000003</v>
      </c>
      <c r="E37">
        <v>1.0980000000000001</v>
      </c>
      <c r="F37">
        <v>1.3925000000000001</v>
      </c>
      <c r="G37">
        <v>1.4281999999999999</v>
      </c>
      <c r="K37" s="17"/>
      <c r="L37" s="17"/>
      <c r="M37" s="17"/>
      <c r="N37" s="17"/>
      <c r="O37" s="17"/>
      <c r="P37" s="17"/>
      <c r="Y37" s="11"/>
    </row>
    <row r="38" spans="1:87">
      <c r="A38" s="581" t="s">
        <v>1556</v>
      </c>
      <c r="B38">
        <v>1.7116</v>
      </c>
      <c r="C38">
        <v>0.28139999999999998</v>
      </c>
      <c r="D38">
        <v>5.7394999999999996</v>
      </c>
      <c r="E38">
        <v>0.90649999999999997</v>
      </c>
      <c r="F38">
        <v>1.9725999999999999</v>
      </c>
      <c r="G38">
        <v>2.4405000000000001</v>
      </c>
      <c r="Y38" s="11"/>
    </row>
    <row r="39" spans="1:87">
      <c r="A39" s="581" t="s">
        <v>1557</v>
      </c>
      <c r="B39">
        <v>1.6306</v>
      </c>
      <c r="C39">
        <v>0.28899999999999998</v>
      </c>
      <c r="D39">
        <v>7.4503000000000004</v>
      </c>
      <c r="E39">
        <v>0.96289999999999998</v>
      </c>
      <c r="F39">
        <v>1.6848000000000001</v>
      </c>
      <c r="G39">
        <v>1.6787000000000001</v>
      </c>
      <c r="Y39" s="11"/>
    </row>
    <row r="40" spans="1:87">
      <c r="A40" s="581" t="s">
        <v>1558</v>
      </c>
      <c r="B40">
        <v>1.5446</v>
      </c>
      <c r="C40">
        <v>0.24079999999999999</v>
      </c>
      <c r="D40">
        <v>3.8906999999999998</v>
      </c>
      <c r="E40">
        <v>0.70309999999999995</v>
      </c>
      <c r="F40">
        <v>1.7305999999999999</v>
      </c>
      <c r="G40">
        <v>2.9727999999999999</v>
      </c>
      <c r="N40" s="12"/>
      <c r="O40" s="14"/>
      <c r="Q40" s="12"/>
      <c r="Y40" s="11"/>
    </row>
    <row r="41" spans="1:87">
      <c r="A41" s="581" t="s">
        <v>1559</v>
      </c>
      <c r="B41">
        <v>1.4876</v>
      </c>
      <c r="C41">
        <v>0.17610000000000001</v>
      </c>
      <c r="D41">
        <v>3.2292999999999998</v>
      </c>
      <c r="E41">
        <v>0.86899999999999999</v>
      </c>
      <c r="F41">
        <v>2.0163000000000002</v>
      </c>
      <c r="G41">
        <v>2.7395</v>
      </c>
      <c r="N41" s="12"/>
      <c r="O41" s="14"/>
      <c r="Q41" s="12"/>
      <c r="Y41" s="11"/>
    </row>
    <row r="42" spans="1:87">
      <c r="A42" s="581" t="s">
        <v>1560</v>
      </c>
      <c r="B42">
        <v>1.6331</v>
      </c>
      <c r="C42">
        <v>0.2082</v>
      </c>
      <c r="D42">
        <v>4.0528000000000004</v>
      </c>
      <c r="E42">
        <v>0.86529999999999996</v>
      </c>
      <c r="F42">
        <v>2.3885999999999998</v>
      </c>
      <c r="G42">
        <v>3.5676999999999999</v>
      </c>
      <c r="Y42" s="11"/>
    </row>
    <row r="43" spans="1:87">
      <c r="A43" s="581" t="s">
        <v>1561</v>
      </c>
      <c r="B43">
        <v>1.6160000000000001</v>
      </c>
      <c r="C43">
        <v>0.20649999999999999</v>
      </c>
      <c r="D43">
        <v>4.0791000000000004</v>
      </c>
      <c r="E43">
        <v>0.9385</v>
      </c>
      <c r="F43">
        <v>2.1078999999999999</v>
      </c>
      <c r="G43">
        <v>2.5608</v>
      </c>
      <c r="Q43" s="12"/>
      <c r="Y43" s="11"/>
    </row>
    <row r="44" spans="1:87">
      <c r="A44" s="581" t="s">
        <v>1562</v>
      </c>
      <c r="B44">
        <v>1.8707</v>
      </c>
      <c r="C44">
        <v>0.3246</v>
      </c>
      <c r="D44">
        <v>6.5753000000000004</v>
      </c>
      <c r="E44">
        <v>0.88480000000000003</v>
      </c>
      <c r="F44">
        <v>1.9368000000000001</v>
      </c>
      <c r="G44">
        <v>2.2991000000000001</v>
      </c>
      <c r="Y44" s="11"/>
    </row>
    <row r="45" spans="1:87">
      <c r="A45" s="581" t="s">
        <v>1563</v>
      </c>
      <c r="B45">
        <v>1.6194</v>
      </c>
      <c r="C45">
        <v>0.27300000000000002</v>
      </c>
      <c r="D45">
        <v>4.8845999999999998</v>
      </c>
      <c r="E45">
        <v>1.0379</v>
      </c>
      <c r="F45">
        <v>1.6843999999999999</v>
      </c>
      <c r="G45">
        <v>2.0621999999999998</v>
      </c>
      <c r="Q45" s="12"/>
      <c r="Y45" s="11"/>
    </row>
    <row r="46" spans="1:87">
      <c r="A46" s="581" t="s">
        <v>1564</v>
      </c>
      <c r="B46">
        <v>1.6020000000000001</v>
      </c>
      <c r="C46">
        <v>0.187</v>
      </c>
      <c r="D46">
        <v>7.2436999999999996</v>
      </c>
      <c r="E46">
        <v>0.7369</v>
      </c>
      <c r="F46">
        <v>2.1781000000000001</v>
      </c>
      <c r="G46">
        <v>1.4331</v>
      </c>
      <c r="Q46" s="16"/>
      <c r="Y46" s="11"/>
    </row>
    <row r="47" spans="1:87">
      <c r="A47" s="581" t="s">
        <v>1565</v>
      </c>
      <c r="B47">
        <v>1.5021</v>
      </c>
      <c r="C47">
        <v>0.12759999999999999</v>
      </c>
      <c r="D47">
        <v>5.9676999999999998</v>
      </c>
      <c r="E47">
        <v>0.99850000000000005</v>
      </c>
      <c r="F47">
        <v>2.5731000000000002</v>
      </c>
      <c r="G47">
        <v>1.4659</v>
      </c>
      <c r="Q47" s="16"/>
      <c r="Y47" s="11"/>
    </row>
    <row r="48" spans="1:87">
      <c r="A48" s="581" t="s">
        <v>1566</v>
      </c>
      <c r="B48">
        <v>1.5992</v>
      </c>
      <c r="C48">
        <v>0.26350000000000001</v>
      </c>
      <c r="D48">
        <v>4.8174000000000001</v>
      </c>
      <c r="E48">
        <v>1.0999000000000001</v>
      </c>
      <c r="F48">
        <v>1.7433000000000001</v>
      </c>
      <c r="G48">
        <v>2.2107000000000001</v>
      </c>
      <c r="Y48" s="11"/>
    </row>
    <row r="49" spans="1:25">
      <c r="A49" s="581" t="s">
        <v>1567</v>
      </c>
      <c r="B49">
        <v>1.5817000000000001</v>
      </c>
      <c r="C49">
        <v>0.40689999999999998</v>
      </c>
      <c r="D49">
        <v>7.1989999999999998</v>
      </c>
      <c r="E49">
        <v>1.0763</v>
      </c>
      <c r="F49">
        <v>1.3756999999999999</v>
      </c>
      <c r="G49">
        <v>1.6863999999999999</v>
      </c>
      <c r="Y49" s="11"/>
    </row>
    <row r="50" spans="1:25">
      <c r="A50" s="581" t="s">
        <v>1568</v>
      </c>
      <c r="B50">
        <v>1.704</v>
      </c>
      <c r="C50">
        <v>0.48480000000000001</v>
      </c>
      <c r="D50">
        <v>6.5743</v>
      </c>
      <c r="E50">
        <v>1.0813999999999999</v>
      </c>
      <c r="F50">
        <v>1.375</v>
      </c>
      <c r="G50">
        <v>2.0108999999999999</v>
      </c>
      <c r="Y50" s="11"/>
    </row>
    <row r="51" spans="1:25">
      <c r="A51" s="581" t="s">
        <v>1569</v>
      </c>
      <c r="B51">
        <v>1.5743</v>
      </c>
      <c r="C51">
        <v>0.3821</v>
      </c>
      <c r="D51">
        <v>13.1356</v>
      </c>
      <c r="E51">
        <v>1.0255000000000001</v>
      </c>
      <c r="F51">
        <v>1.4065000000000001</v>
      </c>
      <c r="G51">
        <v>1.2854000000000001</v>
      </c>
      <c r="Y51" s="11"/>
    </row>
    <row r="52" spans="1:25">
      <c r="A52" s="581" t="s">
        <v>1570</v>
      </c>
      <c r="B52">
        <v>1.7874000000000001</v>
      </c>
      <c r="C52">
        <v>0.43120000000000003</v>
      </c>
      <c r="D52">
        <v>8.1860999999999997</v>
      </c>
      <c r="E52">
        <v>0.99080000000000001</v>
      </c>
      <c r="F52">
        <v>1.5956999999999999</v>
      </c>
      <c r="G52">
        <v>1.8772</v>
      </c>
      <c r="Y52" s="11"/>
    </row>
    <row r="53" spans="1:25">
      <c r="A53" s="581" t="s">
        <v>1571</v>
      </c>
      <c r="B53">
        <v>1.6727000000000001</v>
      </c>
      <c r="C53">
        <v>0.49199999999999999</v>
      </c>
      <c r="D53">
        <v>15.8567</v>
      </c>
      <c r="E53">
        <v>1.0718000000000001</v>
      </c>
      <c r="F53">
        <v>1.3122</v>
      </c>
      <c r="G53">
        <v>1.2587999999999999</v>
      </c>
      <c r="K53" s="17"/>
      <c r="N53" s="17"/>
      <c r="O53" s="17"/>
      <c r="P53" s="17"/>
      <c r="Y53" s="11"/>
    </row>
    <row r="54" spans="1:25">
      <c r="A54" s="581" t="s">
        <v>1572</v>
      </c>
      <c r="B54">
        <v>1.6574</v>
      </c>
      <c r="C54">
        <v>0.45390000000000003</v>
      </c>
      <c r="D54">
        <v>8.6114999999999995</v>
      </c>
      <c r="E54">
        <v>1.0976999999999999</v>
      </c>
      <c r="F54">
        <v>1.3887</v>
      </c>
      <c r="G54">
        <v>1.6220000000000001</v>
      </c>
      <c r="K54" s="17"/>
      <c r="N54" s="12"/>
      <c r="O54" s="12"/>
      <c r="Y54" s="11"/>
    </row>
    <row r="55" spans="1:25">
      <c r="A55" s="581" t="s">
        <v>1573</v>
      </c>
      <c r="B55">
        <v>1.7905</v>
      </c>
      <c r="C55">
        <v>0.42380000000000001</v>
      </c>
      <c r="D55">
        <v>8.7946000000000009</v>
      </c>
      <c r="E55">
        <v>1.0319</v>
      </c>
      <c r="F55">
        <v>1.4850000000000001</v>
      </c>
      <c r="G55">
        <v>1.7401</v>
      </c>
      <c r="K55" s="17"/>
      <c r="N55" s="12"/>
      <c r="O55" s="12"/>
      <c r="Y55" s="11"/>
    </row>
    <row r="56" spans="1:25">
      <c r="A56" s="581" t="s">
        <v>1574</v>
      </c>
      <c r="B56">
        <v>1.6738999999999999</v>
      </c>
      <c r="C56">
        <v>0.45679999999999998</v>
      </c>
      <c r="D56">
        <v>14.235799999999999</v>
      </c>
      <c r="E56">
        <v>1.0959000000000001</v>
      </c>
      <c r="F56">
        <v>1.3651</v>
      </c>
      <c r="G56">
        <v>1.3028</v>
      </c>
      <c r="K56" s="17"/>
      <c r="Y56" s="11"/>
    </row>
    <row r="57" spans="1:25">
      <c r="A57" s="581" t="s">
        <v>1575</v>
      </c>
      <c r="B57">
        <v>1.7417</v>
      </c>
      <c r="C57">
        <v>0.48780000000000001</v>
      </c>
      <c r="D57">
        <v>19.601099999999999</v>
      </c>
      <c r="E57">
        <v>1.0944</v>
      </c>
      <c r="F57">
        <v>1.3806</v>
      </c>
      <c r="G57">
        <v>1.2278</v>
      </c>
      <c r="Y57" s="11"/>
    </row>
    <row r="58" spans="1:25">
      <c r="A58" s="581" t="s">
        <v>1576</v>
      </c>
      <c r="B58">
        <v>1.6107</v>
      </c>
      <c r="C58">
        <v>0.34100000000000003</v>
      </c>
      <c r="D58">
        <v>11.3185</v>
      </c>
      <c r="E58">
        <v>0.97840000000000005</v>
      </c>
      <c r="F58">
        <v>1.4852000000000001</v>
      </c>
      <c r="G58">
        <v>1.361</v>
      </c>
      <c r="Y58" s="11"/>
    </row>
    <row r="59" spans="1:25">
      <c r="A59" s="581" t="s">
        <v>1577</v>
      </c>
      <c r="B59">
        <v>1.5898000000000001</v>
      </c>
      <c r="C59">
        <v>0.3468</v>
      </c>
      <c r="D59">
        <v>16.494800000000001</v>
      </c>
      <c r="E59">
        <v>1.0125</v>
      </c>
      <c r="F59">
        <v>1.4378</v>
      </c>
      <c r="G59">
        <v>1.1961999999999999</v>
      </c>
      <c r="N59" s="12"/>
      <c r="O59" s="14"/>
      <c r="Q59" s="12"/>
      <c r="Y59" s="11"/>
    </row>
    <row r="60" spans="1:25">
      <c r="A60" s="581" t="s">
        <v>1578</v>
      </c>
      <c r="B60">
        <v>1.6541999999999999</v>
      </c>
      <c r="C60">
        <v>0.28639999999999999</v>
      </c>
      <c r="D60">
        <v>7.8005000000000004</v>
      </c>
      <c r="E60">
        <v>0.94179999999999997</v>
      </c>
      <c r="F60">
        <v>1.8239000000000001</v>
      </c>
      <c r="G60">
        <v>1.6658999999999999</v>
      </c>
      <c r="N60" s="12"/>
      <c r="O60" s="14"/>
      <c r="Q60" s="12"/>
      <c r="Y60" s="11"/>
    </row>
    <row r="61" spans="1:25">
      <c r="A61" s="581" t="s">
        <v>1579</v>
      </c>
      <c r="B61">
        <v>1.5893999999999999</v>
      </c>
      <c r="C61">
        <v>0.30580000000000002</v>
      </c>
      <c r="D61">
        <v>13.027900000000001</v>
      </c>
      <c r="E61">
        <v>0.89390000000000003</v>
      </c>
      <c r="F61">
        <v>1.5278</v>
      </c>
      <c r="G61">
        <v>1.2486999999999999</v>
      </c>
      <c r="Y61" s="11"/>
    </row>
    <row r="62" spans="1:25">
      <c r="A62" s="581" t="s">
        <v>1580</v>
      </c>
      <c r="B62">
        <v>1.7967</v>
      </c>
      <c r="C62">
        <v>0.4239</v>
      </c>
      <c r="D62">
        <v>10.766999999999999</v>
      </c>
      <c r="E62">
        <v>1.0383</v>
      </c>
      <c r="F62">
        <v>1.5416000000000001</v>
      </c>
      <c r="G62">
        <v>1.5259</v>
      </c>
      <c r="Q62" s="12"/>
      <c r="Y62" s="11"/>
    </row>
    <row r="63" spans="1:25">
      <c r="A63" s="581" t="s">
        <v>1581</v>
      </c>
      <c r="B63">
        <v>0.97019999999999995</v>
      </c>
      <c r="C63">
        <v>0.1797</v>
      </c>
      <c r="D63">
        <v>5.1123000000000003</v>
      </c>
      <c r="E63">
        <v>0.60160000000000002</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DU115"/>
  <sheetViews>
    <sheetView tabSelected="1" topLeftCell="M9" zoomScale="85" zoomScaleNormal="85" zoomScaleSheetLayoutView="40" workbookViewId="0">
      <selection activeCell="Q46" sqref="Q46"/>
    </sheetView>
  </sheetViews>
  <sheetFormatPr defaultColWidth="9.109375" defaultRowHeight="25.8" outlineLevelCol="1"/>
  <cols>
    <col min="1" max="1" width="14.6640625" style="64" customWidth="1" outlineLevel="1"/>
    <col min="2" max="3" width="9.109375" style="64" customWidth="1" outlineLevel="1"/>
    <col min="4" max="4" width="39.6640625" style="181" customWidth="1" outlineLevel="1"/>
    <col min="5" max="5" width="16.44140625" style="64" customWidth="1" outlineLevel="1"/>
    <col min="6" max="6" width="15.6640625" style="64" customWidth="1" outlineLevel="1"/>
    <col min="7" max="7" width="22" style="64" customWidth="1" outlineLevel="1"/>
    <col min="8" max="8" width="37" style="64" customWidth="1" outlineLevel="1"/>
    <col min="9" max="10" width="9.109375" style="64" customWidth="1" outlineLevel="1"/>
    <col min="11" max="12" width="9.109375" style="65" customWidth="1" outlineLevel="1"/>
    <col min="13" max="13" width="14.44140625" style="65" customWidth="1" outlineLevel="1"/>
    <col min="14" max="14" width="9.33203125" style="65" customWidth="1" outlineLevel="1"/>
    <col min="15" max="15" width="13.33203125" style="65" customWidth="1" outlineLevel="1"/>
    <col min="16" max="16" width="77.6640625" style="65" customWidth="1"/>
    <col min="17" max="17" width="39.5546875" style="65" customWidth="1"/>
    <col min="18" max="18" width="47.6640625" style="65" customWidth="1"/>
    <col min="19" max="20" width="30.33203125" style="65" customWidth="1"/>
    <col min="21" max="21" width="33.5546875" style="65" customWidth="1"/>
    <col min="22" max="22" width="30.33203125" style="65" customWidth="1"/>
    <col min="23" max="23" width="23.5546875" style="65" customWidth="1"/>
    <col min="24" max="24" width="7.109375" style="65" customWidth="1"/>
    <col min="25" max="25" width="1.88671875" style="65" customWidth="1"/>
    <col min="26" max="26" width="9" style="65" hidden="1" customWidth="1"/>
    <col min="27" max="27" width="27.5546875" style="65" hidden="1" customWidth="1"/>
    <col min="28" max="29" width="9.109375" style="65"/>
    <col min="30" max="30" width="20.109375" style="65" bestFit="1" customWidth="1"/>
    <col min="31" max="31" width="13.6640625" style="65" customWidth="1"/>
    <col min="32" max="32" width="21.88671875" style="65" customWidth="1"/>
    <col min="33" max="33" width="18.5546875" style="65" customWidth="1"/>
    <col min="34" max="34" width="17.5546875" style="65" customWidth="1"/>
    <col min="35" max="35" width="20.109375" style="65" customWidth="1"/>
    <col min="36" max="36" width="18.33203125" style="65" customWidth="1"/>
    <col min="37" max="51" width="18.88671875" style="65" customWidth="1"/>
    <col min="52" max="52" width="19.6640625" style="65" bestFit="1" customWidth="1"/>
    <col min="53" max="53" width="17.44140625" style="65" customWidth="1"/>
    <col min="54" max="60" width="9.109375" style="65"/>
    <col min="61" max="61" width="44.109375" style="65" customWidth="1"/>
    <col min="62" max="67" width="9.109375" style="65"/>
    <col min="68" max="68" width="12" style="65" customWidth="1"/>
    <col min="69" max="69" width="9.109375" style="65"/>
    <col min="70" max="70" width="12.6640625" style="65" customWidth="1"/>
    <col min="71" max="125" width="9.109375" style="65"/>
    <col min="126" max="16384" width="9.109375" style="64"/>
  </cols>
  <sheetData>
    <row r="1" spans="1:110">
      <c r="D1" s="181" t="s">
        <v>0</v>
      </c>
      <c r="E1" s="64" t="s">
        <v>1</v>
      </c>
      <c r="F1" s="64" t="s">
        <v>2</v>
      </c>
      <c r="G1" s="64" t="s">
        <v>3</v>
      </c>
      <c r="H1" s="64" t="s">
        <v>4</v>
      </c>
      <c r="I1" s="64" t="s">
        <v>5</v>
      </c>
      <c r="J1" s="64" t="s">
        <v>6</v>
      </c>
    </row>
    <row r="2" spans="1:110" ht="26.4" thickBot="1">
      <c r="A2" s="64" t="str">
        <f>D2</f>
        <v>1. Crop and animal production</v>
      </c>
      <c r="B2" s="64">
        <f>C2</f>
        <v>1</v>
      </c>
      <c r="C2" s="64">
        <v>1</v>
      </c>
      <c r="D2" s="181" t="s">
        <v>1603</v>
      </c>
      <c r="E2" s="77">
        <f>CHOOSE('Calculation&amp;Summary'!$Q$35,atlantic!B2,bergen!B2,burlington!B2,camden!B2,capemay!B2,cumberland!B2,essex!B2,gloucester!B2,hudson!B2,hunterdon!B2,mercer!B2,middlesex!B2,monmouth!B2,morris!B2,ocean!B2,passaic!B2,salem!B2,somerset!B2,sussex!B2,union!B2,warren!B2)</f>
        <v>1.3395999999999999</v>
      </c>
      <c r="F2" s="77">
        <f>CHOOSE('Calculation&amp;Summary'!$Q$35,atlantic!C2,bergen!C2,burlington!C2,camden!C2,capemay!C2,cumberland!C2,essex!C2,gloucester!C2,hudson!C2,hunterdon!C2,mercer!C2,middlesex!C2,monmouth!C2,morris!C2,ocean!C2,passaic!C2,salem!C2,somerset!C2,sussex!C2,union!C2,warren!C2)</f>
        <v>0.21299999999999999</v>
      </c>
      <c r="G2" s="77">
        <f>CHOOSE('Calculation&amp;Summary'!$Q$35,atlantic!D2,bergen!D2,burlington!D2,camden!D2,capemay!D2,cumberland!D2,essex!D2,gloucester!D2,hudson!D2,hunterdon!D2,mercer!D2,middlesex!D2,monmouth!D2,morris!D2,ocean!D2,passaic!D2,salem!D2,somerset!D2,sussex!D2,union!D2,warren!D2)</f>
        <v>9.9108999999999998</v>
      </c>
      <c r="H2" s="77">
        <f>CHOOSE('Calculation&amp;Summary'!$Q$35,atlantic!E2,bergen!E2,burlington!E2,camden!E2,capemay!E2,cumberland!E2,essex!E2,gloucester!E2,hudson!E2,hunterdon!E2,mercer!E2,middlesex!E2,monmouth!E2,morris!E2,ocean!E2,passaic!E2,salem!E2,somerset!E2,sussex!E2,union!E2,warren!E2)</f>
        <v>0.60440000000000005</v>
      </c>
      <c r="I2" s="77">
        <f>CHOOSE('Calculation&amp;Summary'!$Q$35,atlantic!F2,bergen!F2,burlington!F2,camden!F2,capemay!F2,cumberland!F2,essex!F2,gloucester!F2,hudson!F2,hunterdon!F2,mercer!F2,middlesex!F2,monmouth!F2,morris!F2,ocean!F2,passaic!F2,salem!F2,somerset!F2,sussex!F2,union!F2,warren!F2)</f>
        <v>1.3588</v>
      </c>
      <c r="J2" s="77">
        <f>CHOOSE('Calculation&amp;Summary'!$Q$35,atlantic!G2,bergen!G2,burlington!G2,camden!G2,capemay!G2,cumberland!G2,essex!G2,gloucester!G2,hudson!G2,hunterdon!G2,mercer!G2,middlesex!G2,monmouth!G2,morris!G2,ocean!G2,passaic!G2,salem!G2,somerset!G2,sussex!G2,union!G2,warren!G2)</f>
        <v>1.1766000000000001</v>
      </c>
      <c r="K2" s="65">
        <f t="shared" ref="K2" si="0">100*G2</f>
        <v>991.09</v>
      </c>
      <c r="L2" s="65">
        <f t="shared" ref="L2" si="1">K2/J2</f>
        <v>842.33384327723945</v>
      </c>
      <c r="M2" s="147">
        <f t="shared" ref="M2" si="2">100*F2</f>
        <v>21.3</v>
      </c>
      <c r="N2" s="237">
        <f t="shared" ref="N2" si="3">M2/I2</f>
        <v>15.675596114218429</v>
      </c>
      <c r="O2" s="236">
        <f t="shared" ref="O2" si="4">(N2/L2)*1000000</f>
        <v>18609.718984138075</v>
      </c>
      <c r="P2" s="79"/>
      <c r="Q2" s="80"/>
    </row>
    <row r="3" spans="1:110" ht="28.8">
      <c r="A3" s="64" t="str">
        <f t="shared" ref="A3:A63" si="5">D3</f>
        <v>2. Forestry, fishing, and related activities</v>
      </c>
      <c r="B3" s="64">
        <f t="shared" ref="B3:B61" si="6">C3</f>
        <v>2</v>
      </c>
      <c r="C3" s="64">
        <f>C2+1</f>
        <v>2</v>
      </c>
      <c r="D3" s="181" t="s">
        <v>1602</v>
      </c>
      <c r="E3" s="77">
        <f>CHOOSE('Calculation&amp;Summary'!$Q$35,atlantic!B3,bergen!B3,burlington!B3,camden!B3,capemay!B3,cumberland!B3,essex!B3,gloucester!B3,hudson!B3,hunterdon!B3,mercer!B3,middlesex!B3,monmouth!B3,morris!B3,ocean!B3,passaic!B3,salem!B3,somerset!B3,sussex!B3,union!B3,warren!B3)</f>
        <v>1.34</v>
      </c>
      <c r="F3" s="77">
        <f>CHOOSE('Calculation&amp;Summary'!$Q$35,atlantic!C3,bergen!C3,burlington!C3,camden!C3,capemay!C3,cumberland!C3,essex!C3,gloucester!C3,hudson!C3,hunterdon!C3,mercer!C3,middlesex!C3,monmouth!C3,morris!C3,ocean!C3,passaic!C3,salem!C3,somerset!C3,sussex!C3,union!C3,warren!C3)</f>
        <v>0.31309999999999999</v>
      </c>
      <c r="G3" s="77">
        <f>CHOOSE('Calculation&amp;Summary'!$Q$35,atlantic!D3,bergen!D3,burlington!D3,camden!D3,capemay!D3,cumberland!D3,essex!D3,gloucester!D3,hudson!D3,hunterdon!D3,mercer!D3,middlesex!D3,monmouth!D3,morris!D3,ocean!D3,passaic!D3,salem!D3,somerset!D3,sussex!D3,union!D3,warren!D3)</f>
        <v>14.599299999999999</v>
      </c>
      <c r="H3" s="77">
        <f>CHOOSE('Calculation&amp;Summary'!$Q$35,atlantic!E3,bergen!E3,burlington!E3,camden!E3,capemay!E3,cumberland!E3,essex!E3,gloucester!E3,hudson!E3,hunterdon!E3,mercer!E3,middlesex!E3,monmouth!E3,morris!E3,ocean!E3,passaic!E3,salem!E3,somerset!E3,sussex!E3,union!E3,warren!E3)</f>
        <v>0.81630000000000003</v>
      </c>
      <c r="I3" s="77">
        <f>CHOOSE('Calculation&amp;Summary'!$Q$35,atlantic!F3,bergen!F3,burlington!F3,camden!F3,capemay!F3,cumberland!F3,essex!F3,gloucester!F3,hudson!F3,hunterdon!F3,mercer!F3,middlesex!F3,monmouth!F3,morris!F3,ocean!F3,passaic!F3,salem!F3,somerset!F3,sussex!F3,union!F3,warren!F3)</f>
        <v>1.2414000000000001</v>
      </c>
      <c r="J3" s="77">
        <f>CHOOSE('Calculation&amp;Summary'!$Q$35,atlantic!G3,bergen!G3,burlington!G3,camden!G3,capemay!G3,cumberland!G3,essex!G3,gloucester!G3,hudson!G3,hunterdon!G3,mercer!G3,middlesex!G3,monmouth!G3,morris!G3,ocean!G3,passaic!G3,salem!G3,somerset!G3,sussex!G3,union!G3,warren!G3)</f>
        <v>1.1235999999999999</v>
      </c>
      <c r="K3" s="65">
        <f t="shared" ref="K3:K34" si="7">100*G3</f>
        <v>1459.9299999999998</v>
      </c>
      <c r="L3" s="65">
        <f t="shared" ref="L3:L34" si="8">K3/J3</f>
        <v>1299.3325026699893</v>
      </c>
      <c r="M3" s="147">
        <f t="shared" ref="M3:M34" si="9">100*F3</f>
        <v>31.31</v>
      </c>
      <c r="N3" s="237">
        <f t="shared" ref="N3:N34" si="10">M3/I3</f>
        <v>25.221524085709682</v>
      </c>
      <c r="O3" s="236">
        <f t="shared" ref="O3:O34" si="11">(N3/L3)*1000000</f>
        <v>19411.139207156095</v>
      </c>
      <c r="P3" s="155"/>
      <c r="Q3" s="156"/>
      <c r="R3" s="156"/>
      <c r="S3" s="156"/>
      <c r="T3" s="156"/>
      <c r="U3" s="156"/>
      <c r="V3" s="156"/>
      <c r="W3" s="156"/>
      <c r="X3" s="156"/>
      <c r="Y3" s="157"/>
      <c r="Z3" s="99"/>
      <c r="AA3" s="98"/>
      <c r="AB3" s="203"/>
      <c r="AC3" s="204"/>
      <c r="AD3" s="204"/>
      <c r="AE3" s="204"/>
      <c r="AF3" s="204"/>
      <c r="AG3" s="204"/>
      <c r="AH3" s="204"/>
      <c r="AI3" s="204"/>
      <c r="AJ3" s="204"/>
      <c r="AK3" s="204"/>
      <c r="AL3" s="204"/>
      <c r="AM3" s="204"/>
      <c r="AN3" s="204"/>
      <c r="AO3" s="204"/>
      <c r="AP3" s="204"/>
      <c r="AQ3" s="204"/>
      <c r="AR3" s="204"/>
      <c r="AS3" s="204"/>
      <c r="AT3" s="204"/>
      <c r="AU3" s="204"/>
      <c r="AV3" s="204"/>
      <c r="AW3" s="204"/>
      <c r="AX3" s="204"/>
      <c r="AY3" s="204"/>
      <c r="AZ3" s="204"/>
      <c r="BA3" s="204"/>
      <c r="BB3" s="205"/>
      <c r="BI3" s="149"/>
    </row>
    <row r="4" spans="1:110" ht="29.4" thickBot="1">
      <c r="A4" s="64" t="str">
        <f t="shared" si="5"/>
        <v>3. Oil and gas extraction</v>
      </c>
      <c r="B4" s="64">
        <f>C4</f>
        <v>3</v>
      </c>
      <c r="C4" s="64">
        <f t="shared" ref="C4:C63" si="12">C3+1</f>
        <v>3</v>
      </c>
      <c r="D4" s="181" t="s">
        <v>1604</v>
      </c>
      <c r="E4" s="77">
        <f>CHOOSE('Calculation&amp;Summary'!$Q$35,atlantic!B4,bergen!B4,burlington!B4,camden!B4,capemay!B4,cumberland!B4,essex!B4,gloucester!B4,hudson!B4,hunterdon!B4,mercer!B4,middlesex!B4,monmouth!B4,morris!B4,ocean!B4,passaic!B4,salem!B4,somerset!B4,sussex!B4,union!B4,warren!B4)</f>
        <v>1</v>
      </c>
      <c r="F4" s="77">
        <f>CHOOSE('Calculation&amp;Summary'!$Q$35,atlantic!C4,bergen!C4,burlington!C4,camden!C4,capemay!C4,cumberland!C4,essex!C4,gloucester!C4,hudson!C4,hunterdon!C4,mercer!C4,middlesex!C4,monmouth!C4,morris!C4,ocean!C4,passaic!C4,salem!C4,somerset!C4,sussex!C4,union!C4,warren!C4)</f>
        <v>0</v>
      </c>
      <c r="G4" s="77">
        <f>CHOOSE('Calculation&amp;Summary'!$Q$35,atlantic!D4,bergen!D4,burlington!D4,camden!D4,capemay!D4,cumberland!D4,essex!D4,gloucester!D4,hudson!D4,hunterdon!D4,mercer!D4,middlesex!D4,monmouth!D4,morris!D4,ocean!D4,passaic!D4,salem!D4,somerset!D4,sussex!D4,union!D4,warren!D4)</f>
        <v>0</v>
      </c>
      <c r="H4" s="77">
        <f>CHOOSE('Calculation&amp;Summary'!$Q$35,atlantic!E4,bergen!E4,burlington!E4,camden!E4,capemay!E4,cumberland!E4,essex!E4,gloucester!E4,hudson!E4,hunterdon!E4,mercer!E4,middlesex!E4,monmouth!E4,morris!E4,ocean!E4,passaic!E4,salem!E4,somerset!E4,sussex!E4,union!E4,warren!E4)</f>
        <v>0</v>
      </c>
      <c r="I4" s="77">
        <f>CHOOSE('Calculation&amp;Summary'!$Q$35,atlantic!F4,bergen!F4,burlington!F4,camden!F4,capemay!F4,cumberland!F4,essex!F4,gloucester!F4,hudson!F4,hunterdon!F4,mercer!F4,middlesex!F4,monmouth!F4,morris!F4,ocean!F4,passaic!F4,salem!F4,somerset!F4,sussex!F4,union!F4,warren!F4)</f>
        <v>0</v>
      </c>
      <c r="J4" s="77">
        <f>CHOOSE('Calculation&amp;Summary'!$Q$35,atlantic!G4,bergen!G4,burlington!G4,camden!G4,capemay!G4,cumberland!G4,essex!G4,gloucester!G4,hudson!G4,hunterdon!G4,mercer!G4,middlesex!G4,monmouth!G4,morris!G4,ocean!G4,passaic!G4,salem!G4,somerset!G4,sussex!G4,union!G4,warren!G4)</f>
        <v>0</v>
      </c>
      <c r="K4" s="65">
        <f t="shared" si="7"/>
        <v>0</v>
      </c>
      <c r="L4" s="65" t="e">
        <f t="shared" si="8"/>
        <v>#DIV/0!</v>
      </c>
      <c r="M4" s="147">
        <f t="shared" si="9"/>
        <v>0</v>
      </c>
      <c r="N4" s="237" t="e">
        <f t="shared" si="10"/>
        <v>#DIV/0!</v>
      </c>
      <c r="O4" s="236" t="e">
        <f t="shared" si="11"/>
        <v>#DIV/0!</v>
      </c>
      <c r="P4" s="158" t="s">
        <v>1266</v>
      </c>
      <c r="Q4" s="100"/>
      <c r="R4" s="99"/>
      <c r="S4" s="99"/>
      <c r="T4" s="99"/>
      <c r="U4" s="99"/>
      <c r="V4" s="99"/>
      <c r="W4" s="99"/>
      <c r="X4" s="99"/>
      <c r="Y4" s="159"/>
      <c r="Z4" s="99"/>
      <c r="AA4" s="98"/>
      <c r="AB4" s="206" t="s">
        <v>1250</v>
      </c>
      <c r="AC4" s="207"/>
      <c r="AD4" s="207"/>
      <c r="AE4" s="208"/>
      <c r="AF4" s="207"/>
      <c r="AG4" s="207"/>
      <c r="AH4" s="207"/>
      <c r="AI4" s="207"/>
      <c r="AJ4" s="207"/>
      <c r="AK4" s="207"/>
      <c r="AL4" s="207"/>
      <c r="AM4" s="207"/>
      <c r="AN4" s="207"/>
      <c r="AO4" s="207"/>
      <c r="AP4" s="207"/>
      <c r="AQ4" s="207"/>
      <c r="AR4" s="207"/>
      <c r="AS4" s="207"/>
      <c r="AT4" s="207"/>
      <c r="AU4" s="207"/>
      <c r="AV4" s="207"/>
      <c r="AW4" s="207"/>
      <c r="AX4" s="207"/>
      <c r="AY4" s="207"/>
      <c r="AZ4" s="207"/>
      <c r="BA4" s="207"/>
      <c r="BB4" s="209"/>
      <c r="BI4" s="73"/>
    </row>
    <row r="5" spans="1:110" ht="26.4" thickBot="1">
      <c r="A5" s="64" t="str">
        <f t="shared" si="5"/>
        <v>4. Mining, except oil and gas</v>
      </c>
      <c r="B5" s="64">
        <f t="shared" si="6"/>
        <v>4</v>
      </c>
      <c r="C5" s="64">
        <f t="shared" si="12"/>
        <v>4</v>
      </c>
      <c r="D5" s="181" t="s">
        <v>1605</v>
      </c>
      <c r="E5" s="77">
        <f>CHOOSE('Calculation&amp;Summary'!$Q$35,atlantic!B5,bergen!B5,burlington!B5,camden!B5,capemay!B5,cumberland!B5,essex!B5,gloucester!B5,hudson!B5,hunterdon!B5,mercer!B5,middlesex!B5,monmouth!B5,morris!B5,ocean!B5,passaic!B5,salem!B5,somerset!B5,sussex!B5,union!B5,warren!B5)</f>
        <v>1</v>
      </c>
      <c r="F5" s="77">
        <f>CHOOSE('Calculation&amp;Summary'!$Q$35,atlantic!C5,bergen!C5,burlington!C5,camden!C5,capemay!C5,cumberland!C5,essex!C5,gloucester!C5,hudson!C5,hunterdon!C5,mercer!C5,middlesex!C5,monmouth!C5,morris!C5,ocean!C5,passaic!C5,salem!C5,somerset!C5,sussex!C5,union!C5,warren!C5)</f>
        <v>0</v>
      </c>
      <c r="G5" s="77">
        <f>CHOOSE('Calculation&amp;Summary'!$Q$35,atlantic!D5,bergen!D5,burlington!D5,camden!D5,capemay!D5,cumberland!D5,essex!D5,gloucester!D5,hudson!D5,hunterdon!D5,mercer!D5,middlesex!D5,monmouth!D5,morris!D5,ocean!D5,passaic!D5,salem!D5,somerset!D5,sussex!D5,union!D5,warren!D5)</f>
        <v>0</v>
      </c>
      <c r="H5" s="77">
        <f>CHOOSE('Calculation&amp;Summary'!$Q$35,atlantic!E5,bergen!E5,burlington!E5,camden!E5,capemay!E5,cumberland!E5,essex!E5,gloucester!E5,hudson!E5,hunterdon!E5,mercer!E5,middlesex!E5,monmouth!E5,morris!E5,ocean!E5,passaic!E5,salem!E5,somerset!E5,sussex!E5,union!E5,warren!E5)</f>
        <v>0</v>
      </c>
      <c r="I5" s="77">
        <f>CHOOSE('Calculation&amp;Summary'!$Q$35,atlantic!F5,bergen!F5,burlington!F5,camden!F5,capemay!F5,cumberland!F5,essex!F5,gloucester!F5,hudson!F5,hunterdon!F5,mercer!F5,middlesex!F5,monmouth!F5,morris!F5,ocean!F5,passaic!F5,salem!F5,somerset!F5,sussex!F5,union!F5,warren!F5)</f>
        <v>0</v>
      </c>
      <c r="J5" s="77">
        <f>CHOOSE('Calculation&amp;Summary'!$Q$35,atlantic!G5,bergen!G5,burlington!G5,camden!G5,capemay!G5,cumberland!G5,essex!G5,gloucester!G5,hudson!G5,hunterdon!G5,mercer!G5,middlesex!G5,monmouth!G5,morris!G5,ocean!G5,passaic!G5,salem!G5,somerset!G5,sussex!G5,union!G5,warren!G5)</f>
        <v>0</v>
      </c>
      <c r="K5" s="65">
        <f t="shared" si="7"/>
        <v>0</v>
      </c>
      <c r="L5" s="65" t="e">
        <f t="shared" si="8"/>
        <v>#DIV/0!</v>
      </c>
      <c r="M5" s="147">
        <f t="shared" si="9"/>
        <v>0</v>
      </c>
      <c r="N5" s="237" t="e">
        <f t="shared" si="10"/>
        <v>#DIV/0!</v>
      </c>
      <c r="O5" s="236" t="e">
        <f t="shared" si="11"/>
        <v>#DIV/0!</v>
      </c>
      <c r="P5" s="86"/>
      <c r="Q5" s="87"/>
      <c r="R5" s="88"/>
      <c r="S5" s="88"/>
      <c r="T5" s="88"/>
      <c r="U5" s="88"/>
      <c r="V5" s="88"/>
      <c r="W5" s="105"/>
      <c r="X5" s="88"/>
      <c r="Y5" s="88"/>
      <c r="Z5" s="89"/>
      <c r="AB5" s="69"/>
      <c r="AC5" s="136"/>
      <c r="AF5" s="70"/>
      <c r="AH5" s="67"/>
      <c r="AI5" s="67"/>
      <c r="BH5" s="70"/>
      <c r="BI5" s="148"/>
      <c r="BJ5" s="73"/>
      <c r="BK5" s="24"/>
      <c r="BM5" s="71"/>
      <c r="BQ5" s="70"/>
      <c r="BS5" s="71"/>
      <c r="BT5" s="24"/>
      <c r="BV5" s="71"/>
      <c r="BZ5" s="70"/>
      <c r="CB5" s="71"/>
      <c r="CC5" s="24"/>
      <c r="CE5" s="71"/>
      <c r="CI5" s="70"/>
      <c r="CK5" s="71"/>
      <c r="CL5" s="24"/>
      <c r="CN5" s="71"/>
      <c r="CR5" s="70"/>
      <c r="CT5" s="71"/>
      <c r="CU5" s="24"/>
      <c r="CW5" s="71"/>
      <c r="DA5" s="70"/>
      <c r="DC5" s="71"/>
      <c r="DD5" s="24"/>
      <c r="DF5" s="71"/>
    </row>
    <row r="6" spans="1:110" ht="39" customHeight="1" thickBot="1">
      <c r="A6" s="64" t="str">
        <f t="shared" si="5"/>
        <v>5. Support activities for mining</v>
      </c>
      <c r="B6" s="64">
        <f t="shared" si="6"/>
        <v>5</v>
      </c>
      <c r="C6" s="64">
        <f t="shared" si="12"/>
        <v>5</v>
      </c>
      <c r="D6" s="181" t="s">
        <v>1606</v>
      </c>
      <c r="E6" s="77">
        <f>CHOOSE('Calculation&amp;Summary'!$Q$35,atlantic!B6,bergen!B6,burlington!B6,camden!B6,capemay!B6,cumberland!B6,essex!B6,gloucester!B6,hudson!B6,hunterdon!B6,mercer!B6,middlesex!B6,monmouth!B6,morris!B6,ocean!B6,passaic!B6,salem!B6,somerset!B6,sussex!B6,union!B6,warren!B6)</f>
        <v>1.7303999999999999</v>
      </c>
      <c r="F6" s="77">
        <f>CHOOSE('Calculation&amp;Summary'!$Q$35,atlantic!C6,bergen!C6,burlington!C6,camden!C6,capemay!C6,cumberland!C6,essex!C6,gloucester!C6,hudson!C6,hunterdon!C6,mercer!C6,middlesex!C6,monmouth!C6,morris!C6,ocean!C6,passaic!C6,salem!C6,somerset!C6,sussex!C6,union!C6,warren!C6)</f>
        <v>0.42859999999999998</v>
      </c>
      <c r="G6" s="77">
        <f>CHOOSE('Calculation&amp;Summary'!$Q$35,atlantic!D6,bergen!D6,burlington!D6,camden!D6,capemay!D6,cumberland!D6,essex!D6,gloucester!D6,hudson!D6,hunterdon!D6,mercer!D6,middlesex!D6,monmouth!D6,morris!D6,ocean!D6,passaic!D6,salem!D6,somerset!D6,sussex!D6,union!D6,warren!D6)</f>
        <v>9.9093999999999998</v>
      </c>
      <c r="H6" s="77">
        <f>CHOOSE('Calculation&amp;Summary'!$Q$35,atlantic!E6,bergen!E6,burlington!E6,camden!E6,capemay!E6,cumberland!E6,essex!E6,gloucester!E6,hudson!E6,hunterdon!E6,mercer!E6,middlesex!E6,monmouth!E6,morris!E6,ocean!E6,passaic!E6,salem!E6,somerset!E6,sussex!E6,union!E6,warren!E6)</f>
        <v>0.85740000000000005</v>
      </c>
      <c r="I6" s="77">
        <f>CHOOSE('Calculation&amp;Summary'!$Q$35,atlantic!F6,bergen!F6,burlington!F6,camden!F6,capemay!F6,cumberland!F6,essex!F6,gloucester!F6,hudson!F6,hunterdon!F6,mercer!F6,middlesex!F6,monmouth!F6,morris!F6,ocean!F6,passaic!F6,salem!F6,somerset!F6,sussex!F6,union!F6,warren!F6)</f>
        <v>1.4529000000000001</v>
      </c>
      <c r="J6" s="77">
        <f>CHOOSE('Calculation&amp;Summary'!$Q$35,atlantic!G6,bergen!G6,burlington!G6,camden!G6,capemay!G6,cumberland!G6,essex!G6,gloucester!G6,hudson!G6,hunterdon!G6,mercer!G6,middlesex!G6,monmouth!G6,morris!G6,ocean!G6,passaic!G6,salem!G6,somerset!G6,sussex!G6,union!G6,warren!G6)</f>
        <v>1.4366000000000001</v>
      </c>
      <c r="K6" s="65">
        <f t="shared" si="7"/>
        <v>990.93999999999994</v>
      </c>
      <c r="L6" s="65">
        <f t="shared" si="8"/>
        <v>689.7814283725462</v>
      </c>
      <c r="M6" s="147">
        <f t="shared" si="9"/>
        <v>42.86</v>
      </c>
      <c r="N6" s="237">
        <f t="shared" si="10"/>
        <v>29.499621446761648</v>
      </c>
      <c r="O6" s="236">
        <f t="shared" si="11"/>
        <v>42766.621763595969</v>
      </c>
      <c r="P6" s="90" t="s">
        <v>1229</v>
      </c>
      <c r="Q6" s="197">
        <f>VLOOKUP(Q8,$A$2:$B$63,2, FALSE)</f>
        <v>48</v>
      </c>
      <c r="S6" s="197">
        <f>VLOOKUP(S8,$A$2:$B$63,2, FALSE)</f>
        <v>48</v>
      </c>
      <c r="U6" s="197">
        <f>VLOOKUP(U8,$A$2:$B$63,2, FALSE)</f>
        <v>48</v>
      </c>
      <c r="W6" s="106"/>
      <c r="Z6" s="91"/>
      <c r="AB6" s="69"/>
      <c r="AC6" s="130"/>
      <c r="AD6" s="88"/>
      <c r="AE6" s="134"/>
      <c r="AF6" s="135" t="s">
        <v>1246</v>
      </c>
      <c r="AG6" s="134" t="s">
        <v>1249</v>
      </c>
      <c r="AH6" s="141" t="s">
        <v>1298</v>
      </c>
      <c r="AI6" s="141" t="s">
        <v>1299</v>
      </c>
      <c r="AJ6" s="134" t="s">
        <v>1276</v>
      </c>
      <c r="AK6" s="163" t="s">
        <v>1288</v>
      </c>
      <c r="AL6" s="88"/>
      <c r="AM6" s="134"/>
      <c r="AN6" s="135" t="s">
        <v>1246</v>
      </c>
      <c r="AO6" s="134" t="s">
        <v>1249</v>
      </c>
      <c r="AP6" s="141" t="s">
        <v>1298</v>
      </c>
      <c r="AQ6" s="141" t="s">
        <v>1299</v>
      </c>
      <c r="AR6" s="134" t="s">
        <v>1276</v>
      </c>
      <c r="AS6" s="163" t="s">
        <v>1288</v>
      </c>
      <c r="AT6" s="113"/>
      <c r="AU6" s="134"/>
      <c r="AV6" s="135" t="s">
        <v>1246</v>
      </c>
      <c r="AW6" s="134" t="s">
        <v>1249</v>
      </c>
      <c r="AX6" s="141" t="s">
        <v>1298</v>
      </c>
      <c r="AY6" s="141" t="s">
        <v>1299</v>
      </c>
      <c r="AZ6" s="134" t="s">
        <v>1276</v>
      </c>
      <c r="BA6" s="163" t="s">
        <v>1288</v>
      </c>
      <c r="BH6" s="70"/>
      <c r="BK6" s="24"/>
      <c r="BM6" s="71"/>
      <c r="BQ6" s="70"/>
      <c r="BS6" s="71"/>
      <c r="BT6" s="24"/>
      <c r="BV6" s="71"/>
      <c r="BZ6" s="70"/>
      <c r="CB6" s="71"/>
      <c r="CC6" s="24"/>
      <c r="CE6" s="71"/>
      <c r="CI6" s="70"/>
      <c r="CK6" s="71"/>
      <c r="CL6" s="24"/>
      <c r="CN6" s="71"/>
      <c r="CR6" s="70"/>
      <c r="CT6" s="71"/>
      <c r="CU6" s="24"/>
      <c r="CW6" s="71"/>
      <c r="DA6" s="70"/>
      <c r="DC6" s="71"/>
      <c r="DD6" s="24"/>
      <c r="DF6" s="71"/>
    </row>
    <row r="7" spans="1:110" ht="26.4" thickBot="1">
      <c r="A7" s="64" t="str">
        <f t="shared" si="5"/>
        <v>6. Utilities*</v>
      </c>
      <c r="B7" s="64">
        <f t="shared" si="6"/>
        <v>6</v>
      </c>
      <c r="C7" s="64">
        <f t="shared" si="12"/>
        <v>6</v>
      </c>
      <c r="D7" s="181" t="s">
        <v>1607</v>
      </c>
      <c r="E7" s="77">
        <f>CHOOSE('Calculation&amp;Summary'!$Q$35,atlantic!B7,bergen!B7,burlington!B7,camden!B7,capemay!B7,cumberland!B7,essex!B7,gloucester!B7,hudson!B7,hunterdon!B7,mercer!B7,middlesex!B7,monmouth!B7,morris!B7,ocean!B7,passaic!B7,salem!B7,somerset!B7,sussex!B7,union!B7,warren!B7)</f>
        <v>1.1145</v>
      </c>
      <c r="F7" s="77">
        <f>CHOOSE('Calculation&amp;Summary'!$Q$35,atlantic!C7,bergen!C7,burlington!C7,camden!C7,capemay!C7,cumberland!C7,essex!C7,gloucester!C7,hudson!C7,hunterdon!C7,mercer!C7,middlesex!C7,monmouth!C7,morris!C7,ocean!C7,passaic!C7,salem!C7,somerset!C7,sussex!C7,union!C7,warren!C7)</f>
        <v>8.8300000000000003E-2</v>
      </c>
      <c r="G7" s="77">
        <f>CHOOSE('Calculation&amp;Summary'!$Q$35,atlantic!D7,bergen!D7,burlington!D7,camden!D7,capemay!D7,cumberland!D7,essex!D7,gloucester!D7,hudson!D7,hunterdon!D7,mercer!D7,middlesex!D7,monmouth!D7,morris!D7,ocean!D7,passaic!D7,salem!D7,somerset!D7,sussex!D7,union!D7,warren!D7)</f>
        <v>1.1728000000000001</v>
      </c>
      <c r="H7" s="77">
        <f>CHOOSE('Calculation&amp;Summary'!$Q$35,atlantic!E7,bergen!E7,burlington!E7,camden!E7,capemay!E7,cumberland!E7,essex!E7,gloucester!E7,hudson!E7,hunterdon!E7,mercer!E7,middlesex!E7,monmouth!E7,morris!E7,ocean!E7,passaic!E7,salem!E7,somerset!E7,sussex!E7,union!E7,warren!E7)</f>
        <v>0.76329999999999998</v>
      </c>
      <c r="I7" s="77">
        <f>CHOOSE('Calculation&amp;Summary'!$Q$35,atlantic!F7,bergen!F7,burlington!F7,camden!F7,capemay!F7,cumberland!F7,essex!F7,gloucester!F7,hudson!F7,hunterdon!F7,mercer!F7,middlesex!F7,monmouth!F7,morris!F7,ocean!F7,passaic!F7,salem!F7,somerset!F7,sussex!F7,union!F7,warren!F7)</f>
        <v>1.3002</v>
      </c>
      <c r="J7" s="77">
        <f>CHOOSE('Calculation&amp;Summary'!$Q$35,atlantic!G7,bergen!G7,burlington!G7,camden!G7,capemay!G7,cumberland!G7,essex!G7,gloucester!G7,hudson!G7,hunterdon!G7,mercer!G7,middlesex!G7,monmouth!G7,morris!G7,ocean!G7,passaic!G7,salem!G7,somerset!G7,sussex!G7,union!G7,warren!G7)</f>
        <v>1.7824</v>
      </c>
      <c r="K7" s="65">
        <f t="shared" si="7"/>
        <v>117.28</v>
      </c>
      <c r="L7" s="65">
        <f t="shared" si="8"/>
        <v>65.798922800718131</v>
      </c>
      <c r="M7" s="147">
        <f t="shared" si="9"/>
        <v>8.83</v>
      </c>
      <c r="N7" s="237">
        <f t="shared" si="10"/>
        <v>6.7912628826334407</v>
      </c>
      <c r="O7" s="236">
        <f t="shared" si="11"/>
        <v>103212.3717769939</v>
      </c>
      <c r="P7" s="92"/>
      <c r="W7" s="106"/>
      <c r="Z7" s="91"/>
      <c r="AB7" s="69"/>
      <c r="AC7" s="131"/>
      <c r="AE7" s="152">
        <f>NPV($AF$7,AE10:AE30)+AE9</f>
        <v>0</v>
      </c>
      <c r="AF7" s="138">
        <v>0.06</v>
      </c>
      <c r="AG7" s="140">
        <f>NPV($AF$7,AG10:AG30)+AG9</f>
        <v>0</v>
      </c>
      <c r="AH7" s="238">
        <f>VLOOKUP($Q$6,$C$2:$O$63,13)</f>
        <v>69289.150095228179</v>
      </c>
      <c r="AI7" s="137" t="str">
        <f>IF(ABS((((IF(SUM(AF9:AF30)=0,0,(SUM(AF9:AF30)/COUNTIF(AF9:AF30,"&gt;0"))))+(IF(SUM(AI9:AI30)=0,0,SUM(AI9:AI30)/COUNTIF(AI9:AI30,"&gt;0")))))/IF(SUM(AF9:AF30)=0,1,2)-AH7)/AH7&gt;Assumptions!$E$59,"Check Salary","Salary-OK")</f>
        <v>Check Salary</v>
      </c>
      <c r="AJ7" s="140">
        <f>NPV($AF$7,AJ10:AJ30)+AJ9</f>
        <v>24500000</v>
      </c>
      <c r="AK7" s="175">
        <f>AG7*0.25+AJ7</f>
        <v>24500000</v>
      </c>
      <c r="AM7" s="152">
        <f>NPV($AF$7,AM10:AM30)+AM9</f>
        <v>0</v>
      </c>
      <c r="AN7" s="138">
        <v>0.06</v>
      </c>
      <c r="AO7" s="140">
        <f>NPV($AF$7,AO10:AO30)+AO9</f>
        <v>0</v>
      </c>
      <c r="AP7" s="238">
        <f>VLOOKUP($S$6,$C$2:$O$63,13)</f>
        <v>69289.150095228179</v>
      </c>
      <c r="AQ7" s="137" t="str">
        <f>IF(ABS((((IF(SUM(AN9:AN30)=0,0,(SUM(AN9:AN30)/COUNTIF(AN9:AN30,"&gt;0"))))+(IF(SUM(AQ9:AQ30)=0,0,SUM(AQ9:AQ30)/COUNTIF(AQ9:AQ30,"&gt;0")))))/IF(SUM(AN9:AN30)=0,1,2)-AP7)/AP7&gt;Assumptions!$J$59,"Check Salary","Salary-OK")</f>
        <v>Check Salary</v>
      </c>
      <c r="AR7" s="140">
        <f>NPV($AF$7,AR10:AR30)+AR9</f>
        <v>0</v>
      </c>
      <c r="AS7" s="175">
        <f>AO7*0.25+AR7</f>
        <v>0</v>
      </c>
      <c r="AT7" s="94"/>
      <c r="AU7" s="152">
        <f>NPV($AF$7,AU10:AU30)+AU9</f>
        <v>0</v>
      </c>
      <c r="AV7" s="138">
        <v>0.06</v>
      </c>
      <c r="AW7" s="140">
        <f>NPV($AF$7,AW10:AW30)+AW9</f>
        <v>0</v>
      </c>
      <c r="AX7" s="238">
        <f>VLOOKUP($U$6,$C$2:$O$63,13)</f>
        <v>69289.150095228179</v>
      </c>
      <c r="AY7" s="137" t="str">
        <f>IF(ABS((((IF(SUM(AV9:AV30)=0,0,(SUM(AV9:AV30)/COUNTIF(AV9:AV30,"&gt;0"))))+(IF(SUM(AY9:AY30)=0,0,SUM(AY9:AY30)/COUNTIF(AY9:AY30,"&gt;0")))))/IF(SUM(AV9:AV30)=0,1,2)-AX7)/AX7&gt;Assumptions!$O$59,"Check Salary","Salary-OK")</f>
        <v>Check Salary</v>
      </c>
      <c r="AZ7" s="140">
        <f>NPV($AF$7,AZ10:AZ30)+AZ9</f>
        <v>0</v>
      </c>
      <c r="BA7" s="175">
        <f>AW7*0.25+AZ7</f>
        <v>0</v>
      </c>
      <c r="BH7" s="70"/>
      <c r="BK7" s="24"/>
      <c r="BM7" s="71"/>
      <c r="BQ7" s="70"/>
      <c r="BS7" s="71"/>
      <c r="BT7" s="24"/>
      <c r="BV7" s="71"/>
      <c r="BZ7" s="70"/>
      <c r="CB7" s="71"/>
      <c r="CC7" s="24"/>
      <c r="CE7" s="71"/>
      <c r="CI7" s="70"/>
      <c r="CK7" s="71"/>
      <c r="CL7" s="24"/>
      <c r="CN7" s="71"/>
      <c r="CR7" s="70"/>
      <c r="CT7" s="71"/>
      <c r="CU7" s="24"/>
      <c r="CW7" s="71"/>
      <c r="DA7" s="70"/>
      <c r="DC7" s="71"/>
      <c r="DD7" s="24"/>
      <c r="DF7" s="71"/>
    </row>
    <row r="8" spans="1:110" ht="99" customHeight="1" thickBot="1">
      <c r="A8" s="64" t="str">
        <f t="shared" si="5"/>
        <v>7. Construction</v>
      </c>
      <c r="B8" s="64">
        <f t="shared" si="6"/>
        <v>7</v>
      </c>
      <c r="C8" s="64">
        <f t="shared" si="12"/>
        <v>7</v>
      </c>
      <c r="D8" s="181" t="s">
        <v>1608</v>
      </c>
      <c r="E8" s="77">
        <f>CHOOSE('Calculation&amp;Summary'!$Q$35,atlantic!B8,bergen!B8,burlington!B8,camden!B8,capemay!B8,cumberland!B8,essex!B8,gloucester!B8,hudson!B8,hunterdon!B8,mercer!B8,middlesex!B8,monmouth!B8,morris!B8,ocean!B8,passaic!B8,salem!B8,somerset!B8,sussex!B8,union!B8,warren!B8)</f>
        <v>1.6004</v>
      </c>
      <c r="F8" s="77">
        <f>CHOOSE('Calculation&amp;Summary'!$Q$35,atlantic!C8,bergen!C8,burlington!C8,camden!C8,capemay!C8,cumberland!C8,essex!C8,gloucester!C8,hudson!C8,hunterdon!C8,mercer!C8,middlesex!C8,monmouth!C8,morris!C8,ocean!C8,passaic!C8,salem!C8,somerset!C8,sussex!C8,union!C8,warren!C8)</f>
        <v>0.33200000000000002</v>
      </c>
      <c r="G8" s="77">
        <f>CHOOSE('Calculation&amp;Summary'!$Q$35,atlantic!D8,bergen!D8,burlington!D8,camden!D8,capemay!D8,cumberland!D8,essex!D8,gloucester!D8,hudson!D8,hunterdon!D8,mercer!D8,middlesex!D8,monmouth!D8,morris!D8,ocean!D8,passaic!D8,salem!D8,somerset!D8,sussex!D8,union!D8,warren!D8)</f>
        <v>6.9268000000000001</v>
      </c>
      <c r="H8" s="77">
        <f>CHOOSE('Calculation&amp;Summary'!$Q$35,atlantic!E8,bergen!E8,burlington!E8,camden!E8,capemay!E8,cumberland!E8,essex!E8,gloucester!E8,hudson!E8,hunterdon!E8,mercer!E8,middlesex!E8,monmouth!E8,morris!E8,ocean!E8,passaic!E8,salem!E8,somerset!E8,sussex!E8,union!E8,warren!E8)</f>
        <v>0.87690000000000001</v>
      </c>
      <c r="I8" s="77">
        <f>CHOOSE('Calculation&amp;Summary'!$Q$35,atlantic!F8,bergen!F8,burlington!F8,camden!F8,capemay!F8,cumberland!F8,essex!F8,gloucester!F8,hudson!F8,hunterdon!F8,mercer!F8,middlesex!F8,monmouth!F8,morris!F8,ocean!F8,passaic!F8,salem!F8,somerset!F8,sussex!F8,union!F8,warren!F8)</f>
        <v>1.4762999999999999</v>
      </c>
      <c r="J8" s="77">
        <f>CHOOSE('Calculation&amp;Summary'!$Q$35,atlantic!G8,bergen!G8,burlington!G8,camden!G8,capemay!G8,cumberland!G8,essex!G8,gloucester!G8,hudson!G8,hunterdon!G8,mercer!G8,middlesex!G8,monmouth!G8,morris!G8,ocean!G8,passaic!G8,salem!G8,somerset!G8,sussex!G8,union!G8,warren!G8)</f>
        <v>1.6003000000000001</v>
      </c>
      <c r="K8" s="65">
        <f t="shared" si="7"/>
        <v>692.68000000000006</v>
      </c>
      <c r="L8" s="65">
        <f t="shared" si="8"/>
        <v>432.84384177966632</v>
      </c>
      <c r="M8" s="147">
        <f t="shared" si="9"/>
        <v>33.200000000000003</v>
      </c>
      <c r="N8" s="237">
        <f t="shared" si="10"/>
        <v>22.488654067601438</v>
      </c>
      <c r="O8" s="236">
        <f t="shared" si="11"/>
        <v>51955.582815127593</v>
      </c>
      <c r="P8" s="90" t="s">
        <v>1230</v>
      </c>
      <c r="Q8" s="419" t="str">
        <f>Assumptions!E29</f>
        <v>48. Professional, scientific, and technical services</v>
      </c>
      <c r="R8" s="202"/>
      <c r="S8" s="419" t="str">
        <f>Assumptions!J29</f>
        <v>48. Professional, scientific, and technical services</v>
      </c>
      <c r="T8" s="202"/>
      <c r="U8" s="419" t="str">
        <f>Assumptions!O29</f>
        <v>48. Professional, scientific, and technical services</v>
      </c>
      <c r="W8" s="107" t="s">
        <v>1242</v>
      </c>
      <c r="Z8" s="91"/>
      <c r="AB8" s="69"/>
      <c r="AC8" s="131"/>
      <c r="AE8" s="248" t="s">
        <v>1330</v>
      </c>
      <c r="AF8" s="249" t="s">
        <v>1248</v>
      </c>
      <c r="AG8" s="249" t="s">
        <v>1227</v>
      </c>
      <c r="AH8" s="249" t="s">
        <v>1274</v>
      </c>
      <c r="AI8" s="249" t="s">
        <v>1277</v>
      </c>
      <c r="AJ8" s="249" t="s">
        <v>1275</v>
      </c>
      <c r="AK8" s="164"/>
      <c r="AM8" s="248" t="s">
        <v>1330</v>
      </c>
      <c r="AN8" s="249" t="str">
        <f t="shared" ref="AN8:AR8" si="13">AF8</f>
        <v>Average Salary</v>
      </c>
      <c r="AO8" s="249" t="str">
        <f t="shared" si="13"/>
        <v>Total Earnings</v>
      </c>
      <c r="AP8" s="249" t="str">
        <f t="shared" si="13"/>
        <v>At Risk Jobs</v>
      </c>
      <c r="AQ8" s="249" t="str">
        <f t="shared" si="13"/>
        <v>At Risk Salary</v>
      </c>
      <c r="AR8" s="249" t="str">
        <f t="shared" si="13"/>
        <v>At Risk Earnings</v>
      </c>
      <c r="AS8" s="142"/>
      <c r="AT8" s="94"/>
      <c r="AU8" s="248" t="s">
        <v>1330</v>
      </c>
      <c r="AV8" s="249" t="str">
        <f t="shared" ref="AV8:AZ8" si="14">AN8</f>
        <v>Average Salary</v>
      </c>
      <c r="AW8" s="249" t="str">
        <f t="shared" si="14"/>
        <v>Total Earnings</v>
      </c>
      <c r="AX8" s="249" t="str">
        <f t="shared" si="14"/>
        <v>At Risk Jobs</v>
      </c>
      <c r="AY8" s="249" t="str">
        <f t="shared" si="14"/>
        <v>At Risk Salary</v>
      </c>
      <c r="AZ8" s="249" t="str">
        <f t="shared" si="14"/>
        <v>At Risk Earnings</v>
      </c>
      <c r="BA8" s="91"/>
      <c r="BH8" s="70"/>
      <c r="BK8" s="24"/>
      <c r="BM8" s="71"/>
      <c r="BQ8" s="70"/>
      <c r="BS8" s="71"/>
      <c r="BT8" s="24"/>
      <c r="BV8" s="71"/>
      <c r="BZ8" s="70"/>
      <c r="CB8" s="71"/>
      <c r="CC8" s="24"/>
      <c r="CE8" s="71"/>
      <c r="CI8" s="70"/>
      <c r="CK8" s="71"/>
      <c r="CL8" s="24"/>
      <c r="CN8" s="71"/>
      <c r="CR8" s="70"/>
      <c r="CT8" s="71"/>
      <c r="CU8" s="24"/>
      <c r="CW8" s="71"/>
      <c r="DA8" s="70"/>
      <c r="DC8" s="71"/>
      <c r="DD8" s="24"/>
      <c r="DF8" s="71"/>
    </row>
    <row r="9" spans="1:110" ht="26.4" thickBot="1">
      <c r="A9" s="64" t="str">
        <f t="shared" si="5"/>
        <v>8. Wood product manufacturing</v>
      </c>
      <c r="B9" s="64">
        <f t="shared" si="6"/>
        <v>8</v>
      </c>
      <c r="C9" s="64">
        <f t="shared" si="12"/>
        <v>8</v>
      </c>
      <c r="D9" s="181" t="s">
        <v>1609</v>
      </c>
      <c r="E9" s="77">
        <f>CHOOSE('Calculation&amp;Summary'!$Q$35,atlantic!B9,bergen!B9,burlington!B9,camden!B9,capemay!B9,cumberland!B9,essex!B9,gloucester!B9,hudson!B9,hunterdon!B9,mercer!B9,middlesex!B9,monmouth!B9,morris!B9,ocean!B9,passaic!B9,salem!B9,somerset!B9,sussex!B9,union!B9,warren!B9)</f>
        <v>1.5328999999999999</v>
      </c>
      <c r="F9" s="77">
        <f>CHOOSE('Calculation&amp;Summary'!$Q$35,atlantic!C9,bergen!C9,burlington!C9,camden!C9,capemay!C9,cumberland!C9,essex!C9,gloucester!C9,hudson!C9,hunterdon!C9,mercer!C9,middlesex!C9,monmouth!C9,morris!C9,ocean!C9,passaic!C9,salem!C9,somerset!C9,sussex!C9,union!C9,warren!C9)</f>
        <v>0.26619999999999999</v>
      </c>
      <c r="G9" s="77">
        <f>CHOOSE('Calculation&amp;Summary'!$Q$35,atlantic!D9,bergen!D9,burlington!D9,camden!D9,capemay!D9,cumberland!D9,essex!D9,gloucester!D9,hudson!D9,hunterdon!D9,mercer!D9,middlesex!D9,monmouth!D9,morris!D9,ocean!D9,passaic!D9,salem!D9,somerset!D9,sussex!D9,union!D9,warren!D9)</f>
        <v>6.7416</v>
      </c>
      <c r="H9" s="77">
        <f>CHOOSE('Calculation&amp;Summary'!$Q$35,atlantic!E9,bergen!E9,burlington!E9,camden!E9,capemay!E9,cumberland!E9,essex!E9,gloucester!E9,hudson!E9,hunterdon!E9,mercer!E9,middlesex!E9,monmouth!E9,morris!E9,ocean!E9,passaic!E9,salem!E9,somerset!E9,sussex!E9,union!E9,warren!E9)</f>
        <v>0.64990000000000003</v>
      </c>
      <c r="I9" s="77">
        <f>CHOOSE('Calculation&amp;Summary'!$Q$35,atlantic!F9,bergen!F9,burlington!F9,camden!F9,capemay!F9,cumberland!F9,essex!F9,gloucester!F9,hudson!F9,hunterdon!F9,mercer!F9,middlesex!F9,monmouth!F9,morris!F9,ocean!F9,passaic!F9,salem!F9,somerset!F9,sussex!F9,union!F9,warren!F9)</f>
        <v>1.5511999999999999</v>
      </c>
      <c r="J9" s="77">
        <f>CHOOSE('Calculation&amp;Summary'!$Q$35,atlantic!G9,bergen!G9,burlington!G9,camden!G9,capemay!G9,cumberland!G9,essex!G9,gloucester!G9,hudson!G9,hunterdon!G9,mercer!G9,middlesex!G9,monmouth!G9,morris!G9,ocean!G9,passaic!G9,salem!G9,somerset!G9,sussex!G9,union!G9,warren!G9)</f>
        <v>1.4762</v>
      </c>
      <c r="K9" s="65">
        <f t="shared" si="7"/>
        <v>674.16</v>
      </c>
      <c r="L9" s="65">
        <f t="shared" si="8"/>
        <v>456.68608589621999</v>
      </c>
      <c r="M9" s="147">
        <f t="shared" si="9"/>
        <v>26.619999999999997</v>
      </c>
      <c r="N9" s="237">
        <f t="shared" si="10"/>
        <v>17.160907684373388</v>
      </c>
      <c r="O9" s="236">
        <f t="shared" si="11"/>
        <v>37577.032045318614</v>
      </c>
      <c r="P9" s="93"/>
      <c r="Q9" s="79"/>
      <c r="S9" s="79"/>
      <c r="U9" s="79"/>
      <c r="W9" s="108"/>
      <c r="Z9" s="91"/>
      <c r="AB9" s="69"/>
      <c r="AC9" s="131"/>
      <c r="AD9" s="133" t="s">
        <v>1247</v>
      </c>
      <c r="AE9" s="420">
        <f>Assumptions!E35</f>
        <v>0</v>
      </c>
      <c r="AF9" s="421">
        <f>Assumptions!F35</f>
        <v>0</v>
      </c>
      <c r="AG9" s="139">
        <f>AF9*AE9</f>
        <v>0</v>
      </c>
      <c r="AH9" s="420">
        <f>Assumptions!G35</f>
        <v>250</v>
      </c>
      <c r="AI9" s="421">
        <f>Assumptions!H35</f>
        <v>98000</v>
      </c>
      <c r="AJ9" s="139">
        <f t="shared" ref="AJ9:AJ30" si="15">AH9*AI9</f>
        <v>24500000</v>
      </c>
      <c r="AK9" s="176"/>
      <c r="AL9" s="133" t="s">
        <v>1247</v>
      </c>
      <c r="AM9" s="420">
        <f>Assumptions!J35</f>
        <v>0</v>
      </c>
      <c r="AN9" s="421">
        <f>Assumptions!K35</f>
        <v>0</v>
      </c>
      <c r="AO9" s="139">
        <f t="shared" ref="AO9:AO28" si="16">AN9*AM9</f>
        <v>0</v>
      </c>
      <c r="AP9" s="420">
        <f>Assumptions!L35</f>
        <v>0</v>
      </c>
      <c r="AQ9" s="421">
        <f>Assumptions!M35</f>
        <v>0</v>
      </c>
      <c r="AR9" s="139">
        <f t="shared" ref="AR9:AR30" si="17">AP9*AQ9</f>
        <v>0</v>
      </c>
      <c r="AS9" s="176"/>
      <c r="AT9" s="165" t="s">
        <v>1247</v>
      </c>
      <c r="AU9" s="420">
        <f>Assumptions!O35</f>
        <v>0</v>
      </c>
      <c r="AV9" s="421">
        <f>Assumptions!P35</f>
        <v>0</v>
      </c>
      <c r="AW9" s="139">
        <f>AV9*AU9</f>
        <v>0</v>
      </c>
      <c r="AX9" s="420">
        <f>Assumptions!Q35</f>
        <v>0</v>
      </c>
      <c r="AY9" s="421">
        <f>Assumptions!R35</f>
        <v>0</v>
      </c>
      <c r="AZ9" s="139">
        <f t="shared" ref="AZ9:AZ12" si="18">AX9*AY9</f>
        <v>0</v>
      </c>
      <c r="BA9" s="176"/>
      <c r="BH9" s="70"/>
      <c r="BI9" s="146"/>
      <c r="BK9" s="24"/>
      <c r="BM9" s="71"/>
      <c r="BQ9" s="70"/>
      <c r="BS9" s="71"/>
      <c r="BT9" s="24"/>
      <c r="BV9" s="71"/>
      <c r="BZ9" s="70"/>
      <c r="CB9" s="71"/>
      <c r="CC9" s="24"/>
      <c r="CE9" s="71"/>
      <c r="CI9" s="70"/>
      <c r="CK9" s="71"/>
      <c r="CL9" s="24"/>
      <c r="CN9" s="71"/>
      <c r="CR9" s="70"/>
      <c r="CT9" s="71"/>
      <c r="CU9" s="24"/>
      <c r="CW9" s="71"/>
      <c r="DA9" s="70"/>
      <c r="DC9" s="71"/>
      <c r="DD9" s="24"/>
      <c r="DF9" s="71"/>
    </row>
    <row r="10" spans="1:110" ht="26.4" thickBot="1">
      <c r="A10" s="64" t="str">
        <f t="shared" si="5"/>
        <v>9. Nonmetallic mineral product manufacturing</v>
      </c>
      <c r="B10" s="64">
        <f t="shared" si="6"/>
        <v>9</v>
      </c>
      <c r="C10" s="64">
        <f t="shared" si="12"/>
        <v>9</v>
      </c>
      <c r="D10" s="181" t="s">
        <v>1610</v>
      </c>
      <c r="E10" s="77">
        <f>CHOOSE('Calculation&amp;Summary'!$Q$35,atlantic!B10,bergen!B10,burlington!B10,camden!B10,capemay!B10,cumberland!B10,essex!B10,gloucester!B10,hudson!B10,hunterdon!B10,mercer!B10,middlesex!B10,monmouth!B10,morris!B10,ocean!B10,passaic!B10,salem!B10,somerset!B10,sussex!B10,union!B10,warren!B10)</f>
        <v>1.5956999999999999</v>
      </c>
      <c r="F10" s="77">
        <f>CHOOSE('Calculation&amp;Summary'!$Q$35,atlantic!C10,bergen!C10,burlington!C10,camden!C10,capemay!C10,cumberland!C10,essex!C10,gloucester!C10,hudson!C10,hunterdon!C10,mercer!C10,middlesex!C10,monmouth!C10,morris!C10,ocean!C10,passaic!C10,salem!C10,somerset!C10,sussex!C10,union!C10,warren!C10)</f>
        <v>0.20799999999999999</v>
      </c>
      <c r="G10" s="77">
        <f>CHOOSE('Calculation&amp;Summary'!$Q$35,atlantic!D10,bergen!D10,burlington!D10,camden!D10,capemay!D10,cumberland!D10,essex!D10,gloucester!D10,hudson!D10,hunterdon!D10,mercer!D10,middlesex!D10,monmouth!D10,morris!D10,ocean!D10,passaic!D10,salem!D10,somerset!D10,sussex!D10,union!D10,warren!D10)</f>
        <v>4.3653000000000004</v>
      </c>
      <c r="H10" s="77">
        <f>CHOOSE('Calculation&amp;Summary'!$Q$35,atlantic!E10,bergen!E10,burlington!E10,camden!E10,capemay!E10,cumberland!E10,essex!E10,gloucester!E10,hudson!E10,hunterdon!E10,mercer!E10,middlesex!E10,monmouth!E10,morris!E10,ocean!E10,passaic!E10,salem!E10,somerset!E10,sussex!E10,union!E10,warren!E10)</f>
        <v>0.73680000000000001</v>
      </c>
      <c r="I10" s="77">
        <f>CHOOSE('Calculation&amp;Summary'!$Q$35,atlantic!F10,bergen!F10,burlington!F10,camden!F10,capemay!F10,cumberland!F10,essex!F10,gloucester!F10,hudson!F10,hunterdon!F10,mercer!F10,middlesex!F10,monmouth!F10,morris!F10,ocean!F10,passaic!F10,salem!F10,somerset!F10,sussex!F10,union!F10,warren!F10)</f>
        <v>1.9116</v>
      </c>
      <c r="J10" s="77">
        <f>CHOOSE('Calculation&amp;Summary'!$Q$35,atlantic!G10,bergen!G10,burlington!G10,camden!G10,capemay!G10,cumberland!G10,essex!G10,gloucester!G10,hudson!G10,hunterdon!G10,mercer!G10,middlesex!G10,monmouth!G10,morris!G10,ocean!G10,passaic!G10,salem!G10,somerset!G10,sussex!G10,union!G10,warren!G10)</f>
        <v>1.9976</v>
      </c>
      <c r="K10" s="65">
        <f t="shared" si="7"/>
        <v>436.53000000000003</v>
      </c>
      <c r="L10" s="65">
        <f t="shared" si="8"/>
        <v>218.52723267921507</v>
      </c>
      <c r="M10" s="147">
        <f t="shared" si="9"/>
        <v>20.8</v>
      </c>
      <c r="N10" s="237">
        <f t="shared" si="10"/>
        <v>10.880937434609752</v>
      </c>
      <c r="O10" s="236">
        <f t="shared" si="11"/>
        <v>49792.134834665289</v>
      </c>
      <c r="P10" s="90" t="s">
        <v>1221</v>
      </c>
      <c r="Q10" s="150">
        <f>Assumptions!E31</f>
        <v>50639</v>
      </c>
      <c r="R10" s="585"/>
      <c r="S10" s="150">
        <f>Assumptions!J31</f>
        <v>0</v>
      </c>
      <c r="T10" s="585"/>
      <c r="U10" s="150">
        <f>Assumptions!O31</f>
        <v>0</v>
      </c>
      <c r="W10" s="150">
        <f>SUM(U10,S10,Q10)</f>
        <v>50639</v>
      </c>
      <c r="Z10" s="91"/>
      <c r="AC10" s="166"/>
      <c r="AD10" s="129">
        <f>Assumptions!D36</f>
        <v>2014</v>
      </c>
      <c r="AE10" s="420">
        <f>Assumptions!E36</f>
        <v>0</v>
      </c>
      <c r="AF10" s="421">
        <f>Assumptions!F36</f>
        <v>0</v>
      </c>
      <c r="AG10" s="139">
        <f t="shared" ref="AG10:AG30" si="19">AF10*AE10</f>
        <v>0</v>
      </c>
      <c r="AH10" s="420">
        <f>Assumptions!G36</f>
        <v>0</v>
      </c>
      <c r="AI10" s="421">
        <f>Assumptions!H36</f>
        <v>0</v>
      </c>
      <c r="AJ10" s="139">
        <f t="shared" si="15"/>
        <v>0</v>
      </c>
      <c r="AK10" s="176"/>
      <c r="AL10" s="166">
        <f>Assumptions!D36</f>
        <v>2014</v>
      </c>
      <c r="AM10" s="420">
        <f>Assumptions!J36</f>
        <v>0</v>
      </c>
      <c r="AN10" s="421">
        <f>Assumptions!K36</f>
        <v>0</v>
      </c>
      <c r="AO10" s="139">
        <f t="shared" si="16"/>
        <v>0</v>
      </c>
      <c r="AP10" s="420">
        <f>Assumptions!L36</f>
        <v>0</v>
      </c>
      <c r="AQ10" s="421">
        <f>Assumptions!M36</f>
        <v>0</v>
      </c>
      <c r="AR10" s="139">
        <f t="shared" si="17"/>
        <v>0</v>
      </c>
      <c r="AS10" s="176"/>
      <c r="AT10" s="166">
        <f>Assumptions!D36</f>
        <v>2014</v>
      </c>
      <c r="AU10" s="420">
        <f>Assumptions!O36</f>
        <v>0</v>
      </c>
      <c r="AV10" s="421">
        <f>Assumptions!P36</f>
        <v>0</v>
      </c>
      <c r="AW10" s="139">
        <f t="shared" ref="AW10:AW30" si="20">AV10*AU10</f>
        <v>0</v>
      </c>
      <c r="AX10" s="420">
        <f>Assumptions!Q36</f>
        <v>0</v>
      </c>
      <c r="AY10" s="421">
        <f>Assumptions!R36</f>
        <v>0</v>
      </c>
      <c r="AZ10" s="139">
        <f t="shared" si="18"/>
        <v>0</v>
      </c>
      <c r="BA10" s="176"/>
      <c r="BC10" s="184"/>
      <c r="BD10" s="185"/>
      <c r="BE10" s="185"/>
      <c r="BF10" s="185"/>
      <c r="BG10" s="186"/>
      <c r="BJ10" s="71"/>
      <c r="BS10" s="71"/>
      <c r="CB10" s="71"/>
      <c r="CK10" s="71"/>
      <c r="CT10" s="71"/>
      <c r="DC10" s="71"/>
    </row>
    <row r="11" spans="1:110" ht="26.4" thickBot="1">
      <c r="A11" s="64" t="str">
        <f t="shared" si="5"/>
        <v>10. Primary metal manufacturing</v>
      </c>
      <c r="B11" s="64">
        <f t="shared" si="6"/>
        <v>10</v>
      </c>
      <c r="C11" s="64">
        <f t="shared" si="12"/>
        <v>10</v>
      </c>
      <c r="D11" s="181" t="s">
        <v>1611</v>
      </c>
      <c r="E11" s="77">
        <f>CHOOSE('Calculation&amp;Summary'!$Q$35,atlantic!B11,bergen!B11,burlington!B11,camden!B11,capemay!B11,cumberland!B11,essex!B11,gloucester!B11,hudson!B11,hunterdon!B11,mercer!B11,middlesex!B11,monmouth!B11,morris!B11,ocean!B11,passaic!B11,salem!B11,somerset!B11,sussex!B11,union!B11,warren!B11)</f>
        <v>1.5771999999999999</v>
      </c>
      <c r="F11" s="77">
        <f>CHOOSE('Calculation&amp;Summary'!$Q$35,atlantic!C11,bergen!C11,burlington!C11,camden!C11,capemay!C11,cumberland!C11,essex!C11,gloucester!C11,hudson!C11,hunterdon!C11,mercer!C11,middlesex!C11,monmouth!C11,morris!C11,ocean!C11,passaic!C11,salem!C11,somerset!C11,sussex!C11,union!C11,warren!C11)</f>
        <v>0.16170000000000001</v>
      </c>
      <c r="G11" s="77">
        <f>CHOOSE('Calculation&amp;Summary'!$Q$35,atlantic!D11,bergen!D11,burlington!D11,camden!D11,capemay!D11,cumberland!D11,essex!D11,gloucester!D11,hudson!D11,hunterdon!D11,mercer!D11,middlesex!D11,monmouth!D11,morris!D11,ocean!D11,passaic!D11,salem!D11,somerset!D11,sussex!D11,union!D11,warren!D11)</f>
        <v>3.6715</v>
      </c>
      <c r="H11" s="77">
        <f>CHOOSE('Calculation&amp;Summary'!$Q$35,atlantic!E11,bergen!E11,burlington!E11,camden!E11,capemay!E11,cumberland!E11,essex!E11,gloucester!E11,hudson!E11,hunterdon!E11,mercer!E11,middlesex!E11,monmouth!E11,morris!E11,ocean!E11,passaic!E11,salem!E11,somerset!E11,sussex!E11,union!E11,warren!E11)</f>
        <v>0.48649999999999999</v>
      </c>
      <c r="I11" s="77">
        <f>CHOOSE('Calculation&amp;Summary'!$Q$35,atlantic!F11,bergen!F11,burlington!F11,camden!F11,capemay!F11,cumberland!F11,essex!F11,gloucester!F11,hudson!F11,hunterdon!F11,mercer!F11,middlesex!F11,monmouth!F11,morris!F11,ocean!F11,passaic!F11,salem!F11,somerset!F11,sussex!F11,union!F11,warren!F11)</f>
        <v>2.1116000000000001</v>
      </c>
      <c r="J11" s="77">
        <f>CHOOSE('Calculation&amp;Summary'!$Q$35,atlantic!G11,bergen!G11,burlington!G11,camden!G11,capemay!G11,cumberland!G11,essex!G11,gloucester!G11,hudson!G11,hunterdon!G11,mercer!G11,middlesex!G11,monmouth!G11,morris!G11,ocean!G11,passaic!G11,salem!G11,somerset!G11,sussex!G11,union!G11,warren!G11)</f>
        <v>2.0036999999999998</v>
      </c>
      <c r="K11" s="65">
        <f t="shared" si="7"/>
        <v>367.15</v>
      </c>
      <c r="L11" s="65">
        <f t="shared" si="8"/>
        <v>183.23601337525579</v>
      </c>
      <c r="M11" s="147">
        <f t="shared" si="9"/>
        <v>16.170000000000002</v>
      </c>
      <c r="N11" s="237">
        <f t="shared" si="10"/>
        <v>7.6577003220306876</v>
      </c>
      <c r="O11" s="236">
        <f t="shared" si="11"/>
        <v>41791.458900321086</v>
      </c>
      <c r="P11" s="94"/>
      <c r="W11" s="106"/>
      <c r="Z11" s="91"/>
      <c r="AC11" s="131"/>
      <c r="AD11" s="129">
        <f>AD10+1</f>
        <v>2015</v>
      </c>
      <c r="AE11" s="420">
        <f>Assumptions!E37</f>
        <v>0</v>
      </c>
      <c r="AF11" s="421">
        <f>Assumptions!F37</f>
        <v>0</v>
      </c>
      <c r="AG11" s="139">
        <f t="shared" si="19"/>
        <v>0</v>
      </c>
      <c r="AH11" s="420">
        <f>Assumptions!G37</f>
        <v>0</v>
      </c>
      <c r="AI11" s="421">
        <f>Assumptions!H37</f>
        <v>0</v>
      </c>
      <c r="AJ11" s="139">
        <f t="shared" si="15"/>
        <v>0</v>
      </c>
      <c r="AK11" s="176"/>
      <c r="AL11" s="129">
        <f>AL10+1</f>
        <v>2015</v>
      </c>
      <c r="AM11" s="420">
        <f>Assumptions!J37</f>
        <v>0</v>
      </c>
      <c r="AN11" s="421">
        <f>Assumptions!K37</f>
        <v>0</v>
      </c>
      <c r="AO11" s="139">
        <f t="shared" si="16"/>
        <v>0</v>
      </c>
      <c r="AP11" s="420">
        <f>Assumptions!L37</f>
        <v>0</v>
      </c>
      <c r="AQ11" s="421">
        <f>Assumptions!M37</f>
        <v>0</v>
      </c>
      <c r="AR11" s="139">
        <f t="shared" si="17"/>
        <v>0</v>
      </c>
      <c r="AS11" s="176"/>
      <c r="AT11" s="166">
        <f>AT10+1</f>
        <v>2015</v>
      </c>
      <c r="AU11" s="420">
        <f>Assumptions!O37</f>
        <v>0</v>
      </c>
      <c r="AV11" s="421">
        <f>Assumptions!P37</f>
        <v>0</v>
      </c>
      <c r="AW11" s="139">
        <f t="shared" si="20"/>
        <v>0</v>
      </c>
      <c r="AX11" s="420">
        <f>Assumptions!Q37</f>
        <v>0</v>
      </c>
      <c r="AY11" s="421">
        <f>Assumptions!R37</f>
        <v>0</v>
      </c>
      <c r="AZ11" s="139">
        <f t="shared" si="18"/>
        <v>0</v>
      </c>
      <c r="BA11" s="176"/>
      <c r="BC11" s="185"/>
      <c r="BD11" s="185"/>
      <c r="BE11" s="185"/>
      <c r="BF11" s="185"/>
      <c r="BG11" s="186"/>
      <c r="BI11" s="144"/>
      <c r="BJ11" s="71"/>
      <c r="BM11" s="71"/>
      <c r="BS11" s="71"/>
      <c r="BV11" s="71"/>
      <c r="CB11" s="71"/>
      <c r="CE11" s="71"/>
      <c r="CK11" s="71"/>
      <c r="CN11" s="71"/>
      <c r="CT11" s="71"/>
      <c r="CW11" s="71"/>
      <c r="DC11" s="71"/>
      <c r="DF11" s="71"/>
    </row>
    <row r="12" spans="1:110" ht="26.4" thickBot="1">
      <c r="A12" s="64" t="str">
        <f t="shared" si="5"/>
        <v>11. Fabricated metal product manufacturing</v>
      </c>
      <c r="B12" s="64">
        <f t="shared" si="6"/>
        <v>11</v>
      </c>
      <c r="C12" s="64">
        <f t="shared" si="12"/>
        <v>11</v>
      </c>
      <c r="D12" s="181" t="s">
        <v>1612</v>
      </c>
      <c r="E12" s="77">
        <f>CHOOSE('Calculation&amp;Summary'!$Q$35,atlantic!B12,bergen!B12,burlington!B12,camden!B12,capemay!B12,cumberland!B12,essex!B12,gloucester!B12,hudson!B12,hunterdon!B12,mercer!B12,middlesex!B12,monmouth!B12,morris!B12,ocean!B12,passaic!B12,salem!B12,somerset!B12,sussex!B12,union!B12,warren!B12)</f>
        <v>1.5483</v>
      </c>
      <c r="F12" s="77">
        <f>CHOOSE('Calculation&amp;Summary'!$Q$35,atlantic!C12,bergen!C12,burlington!C12,camden!C12,capemay!C12,cumberland!C12,essex!C12,gloucester!C12,hudson!C12,hunterdon!C12,mercer!C12,middlesex!C12,monmouth!C12,morris!C12,ocean!C12,passaic!C12,salem!C12,somerset!C12,sussex!C12,union!C12,warren!C12)</f>
        <v>0.2258</v>
      </c>
      <c r="G12" s="77">
        <f>CHOOSE('Calculation&amp;Summary'!$Q$35,atlantic!D12,bergen!D12,burlington!D12,camden!D12,capemay!D12,cumberland!D12,essex!D12,gloucester!D12,hudson!D12,hunterdon!D12,mercer!D12,middlesex!D12,monmouth!D12,morris!D12,ocean!D12,passaic!D12,salem!D12,somerset!D12,sussex!D12,union!D12,warren!D12)</f>
        <v>4.4217000000000004</v>
      </c>
      <c r="H12" s="77">
        <f>CHOOSE('Calculation&amp;Summary'!$Q$35,atlantic!E12,bergen!E12,burlington!E12,camden!E12,capemay!E12,cumberland!E12,essex!E12,gloucester!E12,hudson!E12,hunterdon!E12,mercer!E12,middlesex!E12,monmouth!E12,morris!E12,ocean!E12,passaic!E12,salem!E12,somerset!E12,sussex!E12,union!E12,warren!E12)</f>
        <v>0.7379</v>
      </c>
      <c r="I12" s="77">
        <f>CHOOSE('Calculation&amp;Summary'!$Q$35,atlantic!F12,bergen!F12,burlington!F12,camden!F12,capemay!F12,cumberland!F12,essex!F12,gloucester!F12,hudson!F12,hunterdon!F12,mercer!F12,middlesex!F12,monmouth!F12,morris!F12,ocean!F12,passaic!F12,salem!F12,somerset!F12,sussex!F12,union!F12,warren!F12)</f>
        <v>1.6612</v>
      </c>
      <c r="J12" s="77">
        <f>CHOOSE('Calculation&amp;Summary'!$Q$35,atlantic!G12,bergen!G12,burlington!G12,camden!G12,capemay!G12,cumberland!G12,essex!G12,gloucester!G12,hudson!G12,hunterdon!G12,mercer!G12,middlesex!G12,monmouth!G12,morris!G12,ocean!G12,passaic!G12,salem!G12,somerset!G12,sussex!G12,union!G12,warren!G12)</f>
        <v>1.8421000000000001</v>
      </c>
      <c r="K12" s="65">
        <f t="shared" si="7"/>
        <v>442.17</v>
      </c>
      <c r="L12" s="65">
        <f t="shared" si="8"/>
        <v>240.0358286737962</v>
      </c>
      <c r="M12" s="147">
        <f t="shared" si="9"/>
        <v>22.58</v>
      </c>
      <c r="N12" s="237">
        <f t="shared" si="10"/>
        <v>13.592583674452202</v>
      </c>
      <c r="O12" s="236">
        <f t="shared" si="11"/>
        <v>56627.311637398292</v>
      </c>
      <c r="P12" s="90" t="s">
        <v>1222</v>
      </c>
      <c r="Q12" s="150"/>
      <c r="R12" s="72"/>
      <c r="S12" s="150"/>
      <c r="T12" s="72"/>
      <c r="U12" s="150"/>
      <c r="V12" s="72"/>
      <c r="W12" s="85"/>
      <c r="Z12" s="91"/>
      <c r="AC12" s="131"/>
      <c r="AD12" s="129">
        <f t="shared" ref="AD12:AD30" si="21">AD11+1</f>
        <v>2016</v>
      </c>
      <c r="AE12" s="420">
        <f>Assumptions!E38</f>
        <v>0</v>
      </c>
      <c r="AF12" s="421">
        <f>Assumptions!F38</f>
        <v>0</v>
      </c>
      <c r="AG12" s="139">
        <f t="shared" si="19"/>
        <v>0</v>
      </c>
      <c r="AH12" s="420">
        <f>Assumptions!G38</f>
        <v>0</v>
      </c>
      <c r="AI12" s="421">
        <f>Assumptions!H38</f>
        <v>0</v>
      </c>
      <c r="AJ12" s="139">
        <f t="shared" si="15"/>
        <v>0</v>
      </c>
      <c r="AK12" s="176"/>
      <c r="AL12" s="129">
        <f t="shared" ref="AL12:AL30" si="22">AL11+1</f>
        <v>2016</v>
      </c>
      <c r="AM12" s="420">
        <f>Assumptions!J38</f>
        <v>0</v>
      </c>
      <c r="AN12" s="421">
        <f>Assumptions!K38</f>
        <v>0</v>
      </c>
      <c r="AO12" s="139">
        <f t="shared" si="16"/>
        <v>0</v>
      </c>
      <c r="AP12" s="420">
        <f>Assumptions!L38</f>
        <v>0</v>
      </c>
      <c r="AQ12" s="421">
        <f>Assumptions!M38</f>
        <v>0</v>
      </c>
      <c r="AR12" s="139">
        <f t="shared" si="17"/>
        <v>0</v>
      </c>
      <c r="AS12" s="176"/>
      <c r="AT12" s="166">
        <f t="shared" ref="AT12:AT30" si="23">AT11+1</f>
        <v>2016</v>
      </c>
      <c r="AU12" s="420">
        <f>Assumptions!O38</f>
        <v>0</v>
      </c>
      <c r="AV12" s="421">
        <f>Assumptions!P38</f>
        <v>0</v>
      </c>
      <c r="AW12" s="139">
        <f t="shared" si="20"/>
        <v>0</v>
      </c>
      <c r="AX12" s="420">
        <f>Assumptions!Q38</f>
        <v>0</v>
      </c>
      <c r="AY12" s="421">
        <f>Assumptions!R38</f>
        <v>0</v>
      </c>
      <c r="AZ12" s="139">
        <f t="shared" si="18"/>
        <v>0</v>
      </c>
      <c r="BA12" s="176"/>
      <c r="BC12" s="185"/>
      <c r="BD12" s="187"/>
      <c r="BE12" s="185"/>
      <c r="BF12" s="188"/>
      <c r="BG12" s="186"/>
      <c r="BI12" s="145"/>
      <c r="BJ12" s="71"/>
      <c r="BS12" s="71"/>
      <c r="CB12" s="71"/>
      <c r="CK12" s="71"/>
      <c r="CT12" s="71"/>
      <c r="DC12" s="71"/>
    </row>
    <row r="13" spans="1:110" ht="26.4" thickBot="1">
      <c r="A13" s="64" t="str">
        <f t="shared" si="5"/>
        <v>12. Machinery manufacturing</v>
      </c>
      <c r="B13" s="64">
        <f t="shared" si="6"/>
        <v>12</v>
      </c>
      <c r="C13" s="64">
        <f t="shared" si="12"/>
        <v>12</v>
      </c>
      <c r="D13" s="181" t="s">
        <v>1613</v>
      </c>
      <c r="E13" s="77">
        <f>CHOOSE('Calculation&amp;Summary'!$Q$35,atlantic!B13,bergen!B13,burlington!B13,camden!B13,capemay!B13,cumberland!B13,essex!B13,gloucester!B13,hudson!B13,hunterdon!B13,mercer!B13,middlesex!B13,monmouth!B13,morris!B13,ocean!B13,passaic!B13,salem!B13,somerset!B13,sussex!B13,union!B13,warren!B13)</f>
        <v>1.4670000000000001</v>
      </c>
      <c r="F13" s="77">
        <f>CHOOSE('Calculation&amp;Summary'!$Q$35,atlantic!C13,bergen!C13,burlington!C13,camden!C13,capemay!C13,cumberland!C13,essex!C13,gloucester!C13,hudson!C13,hunterdon!C13,mercer!C13,middlesex!C13,monmouth!C13,morris!C13,ocean!C13,passaic!C13,salem!C13,somerset!C13,sussex!C13,union!C13,warren!C13)</f>
        <v>0.2296</v>
      </c>
      <c r="G13" s="77">
        <f>CHOOSE('Calculation&amp;Summary'!$Q$35,atlantic!D13,bergen!D13,burlington!D13,camden!D13,capemay!D13,cumberland!D13,essex!D13,gloucester!D13,hudson!D13,hunterdon!D13,mercer!D13,middlesex!D13,monmouth!D13,morris!D13,ocean!D13,passaic!D13,salem!D13,somerset!D13,sussex!D13,union!D13,warren!D13)</f>
        <v>3.7686999999999999</v>
      </c>
      <c r="H13" s="77">
        <f>CHOOSE('Calculation&amp;Summary'!$Q$35,atlantic!E13,bergen!E13,burlington!E13,camden!E13,capemay!E13,cumberland!E13,essex!E13,gloucester!E13,hudson!E13,hunterdon!E13,mercer!E13,middlesex!E13,monmouth!E13,morris!E13,ocean!E13,passaic!E13,salem!E13,somerset!E13,sussex!E13,union!E13,warren!E13)</f>
        <v>0.72650000000000003</v>
      </c>
      <c r="I13" s="77">
        <f>CHOOSE('Calculation&amp;Summary'!$Q$35,atlantic!F13,bergen!F13,burlington!F13,camden!F13,capemay!F13,cumberland!F13,essex!F13,gloucester!F13,hudson!F13,hunterdon!F13,mercer!F13,middlesex!F13,monmouth!F13,morris!F13,ocean!F13,passaic!F13,salem!F13,somerset!F13,sussex!F13,union!F13,warren!F13)</f>
        <v>1.5356000000000001</v>
      </c>
      <c r="J13" s="77">
        <f>CHOOSE('Calculation&amp;Summary'!$Q$35,atlantic!G13,bergen!G13,burlington!G13,camden!G13,capemay!G13,cumberland!G13,essex!G13,gloucester!G13,hudson!G13,hunterdon!G13,mercer!G13,middlesex!G13,monmouth!G13,morris!G13,ocean!G13,passaic!G13,salem!G13,somerset!G13,sussex!G13,union!G13,warren!G13)</f>
        <v>1.8608</v>
      </c>
      <c r="K13" s="65">
        <f t="shared" si="7"/>
        <v>376.87</v>
      </c>
      <c r="L13" s="65">
        <f t="shared" si="8"/>
        <v>202.5311693895099</v>
      </c>
      <c r="M13" s="147">
        <f t="shared" si="9"/>
        <v>22.96</v>
      </c>
      <c r="N13" s="237">
        <f t="shared" si="10"/>
        <v>14.951810367283146</v>
      </c>
      <c r="O13" s="236">
        <f t="shared" si="11"/>
        <v>73824.737260701237</v>
      </c>
      <c r="P13" s="90"/>
      <c r="Q13" s="79"/>
      <c r="S13" s="79"/>
      <c r="U13" s="79"/>
      <c r="W13" s="108"/>
      <c r="Z13" s="91"/>
      <c r="AC13" s="131"/>
      <c r="AD13" s="129">
        <f t="shared" si="21"/>
        <v>2017</v>
      </c>
      <c r="AE13" s="420">
        <f>Assumptions!E39</f>
        <v>0</v>
      </c>
      <c r="AF13" s="421">
        <f>Assumptions!F39</f>
        <v>0</v>
      </c>
      <c r="AG13" s="139">
        <f t="shared" si="19"/>
        <v>0</v>
      </c>
      <c r="AH13" s="420">
        <f>Assumptions!G39</f>
        <v>0</v>
      </c>
      <c r="AI13" s="421">
        <f>Assumptions!H39</f>
        <v>0</v>
      </c>
      <c r="AJ13" s="139">
        <f t="shared" si="15"/>
        <v>0</v>
      </c>
      <c r="AK13" s="176"/>
      <c r="AL13" s="129">
        <f t="shared" si="22"/>
        <v>2017</v>
      </c>
      <c r="AM13" s="420">
        <f>Assumptions!J39</f>
        <v>0</v>
      </c>
      <c r="AN13" s="421">
        <f>Assumptions!K39</f>
        <v>0</v>
      </c>
      <c r="AO13" s="139">
        <f t="shared" si="16"/>
        <v>0</v>
      </c>
      <c r="AP13" s="420">
        <f>Assumptions!L39</f>
        <v>0</v>
      </c>
      <c r="AQ13" s="421">
        <f>Assumptions!M39</f>
        <v>0</v>
      </c>
      <c r="AR13" s="139">
        <f t="shared" si="17"/>
        <v>0</v>
      </c>
      <c r="AS13" s="176"/>
      <c r="AT13" s="166">
        <f t="shared" si="23"/>
        <v>2017</v>
      </c>
      <c r="AU13" s="420">
        <f>Assumptions!O39</f>
        <v>0</v>
      </c>
      <c r="AV13" s="421">
        <f>Assumptions!P39</f>
        <v>0</v>
      </c>
      <c r="AW13" s="139">
        <f t="shared" si="20"/>
        <v>0</v>
      </c>
      <c r="AX13" s="420">
        <f>Assumptions!Q39</f>
        <v>0</v>
      </c>
      <c r="AY13" s="421">
        <f>Assumptions!R39</f>
        <v>0</v>
      </c>
      <c r="AZ13" s="139">
        <f>AX13*AY13</f>
        <v>0</v>
      </c>
      <c r="BA13" s="176"/>
      <c r="BC13" s="185"/>
      <c r="BD13" s="187"/>
      <c r="BE13" s="185"/>
      <c r="BF13" s="188"/>
      <c r="BG13" s="186"/>
      <c r="BI13" s="145"/>
      <c r="BJ13" s="71"/>
      <c r="BS13" s="71"/>
      <c r="CB13" s="71"/>
      <c r="CK13" s="71"/>
      <c r="CT13" s="71"/>
      <c r="DC13" s="71"/>
    </row>
    <row r="14" spans="1:110" ht="26.4" thickBot="1">
      <c r="A14" s="64" t="str">
        <f t="shared" si="5"/>
        <v>13. Computer and electronic product manufacturing</v>
      </c>
      <c r="B14" s="64">
        <f t="shared" si="6"/>
        <v>13</v>
      </c>
      <c r="C14" s="64">
        <f t="shared" si="12"/>
        <v>13</v>
      </c>
      <c r="D14" s="181" t="s">
        <v>1614</v>
      </c>
      <c r="E14" s="77">
        <f>CHOOSE('Calculation&amp;Summary'!$Q$35,atlantic!B14,bergen!B14,burlington!B14,camden!B14,capemay!B14,cumberland!B14,essex!B14,gloucester!B14,hudson!B14,hunterdon!B14,mercer!B14,middlesex!B14,monmouth!B14,morris!B14,ocean!B14,passaic!B14,salem!B14,somerset!B14,sussex!B14,union!B14,warren!B14)</f>
        <v>1.3260000000000001</v>
      </c>
      <c r="F14" s="77">
        <f>CHOOSE('Calculation&amp;Summary'!$Q$35,atlantic!C14,bergen!C14,burlington!C14,camden!C14,capemay!C14,cumberland!C14,essex!C14,gloucester!C14,hudson!C14,hunterdon!C14,mercer!C14,middlesex!C14,monmouth!C14,morris!C14,ocean!C14,passaic!C14,salem!C14,somerset!C14,sussex!C14,union!C14,warren!C14)</f>
        <v>0.16919999999999999</v>
      </c>
      <c r="G14" s="77">
        <f>CHOOSE('Calculation&amp;Summary'!$Q$35,atlantic!D14,bergen!D14,burlington!D14,camden!D14,capemay!D14,cumberland!D14,essex!D14,gloucester!D14,hudson!D14,hunterdon!D14,mercer!D14,middlesex!D14,monmouth!D14,morris!D14,ocean!D14,passaic!D14,salem!D14,somerset!D14,sussex!D14,union!D14,warren!D14)</f>
        <v>2.6669999999999998</v>
      </c>
      <c r="H14" s="77">
        <f>CHOOSE('Calculation&amp;Summary'!$Q$35,atlantic!E14,bergen!E14,burlington!E14,camden!E14,capemay!E14,cumberland!E14,essex!E14,gloucester!E14,hudson!E14,hunterdon!E14,mercer!E14,middlesex!E14,monmouth!E14,morris!E14,ocean!E14,passaic!E14,salem!E14,somerset!E14,sussex!E14,union!E14,warren!E14)</f>
        <v>0.90800000000000003</v>
      </c>
      <c r="I14" s="77">
        <f>CHOOSE('Calculation&amp;Summary'!$Q$35,atlantic!F14,bergen!F14,burlington!F14,camden!F14,capemay!F14,cumberland!F14,essex!F14,gloucester!F14,hudson!F14,hunterdon!F14,mercer!F14,middlesex!F14,monmouth!F14,morris!F14,ocean!F14,passaic!F14,salem!F14,somerset!F14,sussex!F14,union!F14,warren!F14)</f>
        <v>1.522</v>
      </c>
      <c r="J14" s="77">
        <f>CHOOSE('Calculation&amp;Summary'!$Q$35,atlantic!G14,bergen!G14,burlington!G14,camden!G14,capemay!G14,cumberland!G14,essex!G14,gloucester!G14,hudson!G14,hunterdon!G14,mercer!G14,middlesex!G14,monmouth!G14,morris!G14,ocean!G14,passaic!G14,salem!G14,somerset!G14,sussex!G14,union!G14,warren!G14)</f>
        <v>1.8563000000000001</v>
      </c>
      <c r="K14" s="65">
        <f t="shared" si="7"/>
        <v>266.7</v>
      </c>
      <c r="L14" s="65">
        <f t="shared" si="8"/>
        <v>143.67289769972524</v>
      </c>
      <c r="M14" s="147">
        <f t="shared" si="9"/>
        <v>16.919999999999998</v>
      </c>
      <c r="N14" s="237">
        <f t="shared" si="10"/>
        <v>11.116951379763467</v>
      </c>
      <c r="O14" s="236">
        <f t="shared" si="11"/>
        <v>77376.816071447043</v>
      </c>
      <c r="P14" s="90" t="s">
        <v>1233</v>
      </c>
      <c r="Q14" s="199">
        <f>Q16/Q15</f>
        <v>353.59071321163844</v>
      </c>
      <c r="R14" s="160" t="s">
        <v>1261</v>
      </c>
      <c r="S14" s="199">
        <f>S16/S15</f>
        <v>0</v>
      </c>
      <c r="T14" s="160" t="s">
        <v>1261</v>
      </c>
      <c r="U14" s="199">
        <f>U16/U15</f>
        <v>0</v>
      </c>
      <c r="V14" s="160" t="s">
        <v>1261</v>
      </c>
      <c r="W14" s="183">
        <f>SUM(S14,Q14,U14)</f>
        <v>353.59071321163844</v>
      </c>
      <c r="Z14" s="91"/>
      <c r="AC14" s="131"/>
      <c r="AD14" s="129">
        <f t="shared" si="21"/>
        <v>2018</v>
      </c>
      <c r="AE14" s="420">
        <f>Assumptions!E40</f>
        <v>0</v>
      </c>
      <c r="AF14" s="421">
        <f>Assumptions!F40</f>
        <v>0</v>
      </c>
      <c r="AG14" s="143">
        <f t="shared" si="19"/>
        <v>0</v>
      </c>
      <c r="AH14" s="420">
        <f>Assumptions!G40</f>
        <v>0</v>
      </c>
      <c r="AI14" s="421">
        <f>Assumptions!H40</f>
        <v>0</v>
      </c>
      <c r="AJ14" s="143">
        <f t="shared" si="15"/>
        <v>0</v>
      </c>
      <c r="AK14" s="176"/>
      <c r="AL14" s="129">
        <f t="shared" si="22"/>
        <v>2018</v>
      </c>
      <c r="AM14" s="420">
        <f>Assumptions!J40</f>
        <v>0</v>
      </c>
      <c r="AN14" s="421">
        <f>Assumptions!K40</f>
        <v>0</v>
      </c>
      <c r="AO14" s="143">
        <f t="shared" si="16"/>
        <v>0</v>
      </c>
      <c r="AP14" s="420">
        <f>Assumptions!L40</f>
        <v>0</v>
      </c>
      <c r="AQ14" s="421">
        <f>Assumptions!M40</f>
        <v>0</v>
      </c>
      <c r="AR14" s="143">
        <f t="shared" si="17"/>
        <v>0</v>
      </c>
      <c r="AS14" s="176"/>
      <c r="AT14" s="166">
        <f t="shared" si="23"/>
        <v>2018</v>
      </c>
      <c r="AU14" s="420">
        <f>Assumptions!O40</f>
        <v>0</v>
      </c>
      <c r="AV14" s="421">
        <f>Assumptions!P40</f>
        <v>0</v>
      </c>
      <c r="AW14" s="143">
        <f t="shared" si="20"/>
        <v>0</v>
      </c>
      <c r="AX14" s="420">
        <f>Assumptions!Q40</f>
        <v>0</v>
      </c>
      <c r="AY14" s="421">
        <f>Assumptions!R40</f>
        <v>0</v>
      </c>
      <c r="AZ14" s="143">
        <f t="shared" ref="AZ14:AZ30" si="24">AX14*AY14</f>
        <v>0</v>
      </c>
      <c r="BA14" s="176"/>
      <c r="BC14" s="185"/>
      <c r="BD14" s="187"/>
      <c r="BE14" s="185"/>
      <c r="BF14" s="188"/>
      <c r="BG14" s="185"/>
      <c r="BI14" s="145"/>
      <c r="BJ14" s="71"/>
      <c r="BS14" s="71"/>
      <c r="CB14" s="71"/>
      <c r="CK14" s="71"/>
      <c r="CT14" s="71"/>
      <c r="DC14" s="71"/>
    </row>
    <row r="15" spans="1:110">
      <c r="A15" s="64" t="str">
        <f t="shared" si="5"/>
        <v>14. Electrical equipment and appliance manufacturing</v>
      </c>
      <c r="B15" s="64">
        <f t="shared" si="6"/>
        <v>14</v>
      </c>
      <c r="C15" s="64">
        <f t="shared" si="12"/>
        <v>14</v>
      </c>
      <c r="D15" s="181" t="s">
        <v>1615</v>
      </c>
      <c r="E15" s="77">
        <f>CHOOSE('Calculation&amp;Summary'!$Q$35,atlantic!B15,bergen!B15,burlington!B15,camden!B15,capemay!B15,cumberland!B15,essex!B15,gloucester!B15,hudson!B15,hunterdon!B15,mercer!B15,middlesex!B15,monmouth!B15,morris!B15,ocean!B15,passaic!B15,salem!B15,somerset!B15,sussex!B15,union!B15,warren!B15)</f>
        <v>1.4006000000000001</v>
      </c>
      <c r="F15" s="77">
        <f>CHOOSE('Calculation&amp;Summary'!$Q$35,atlantic!C15,bergen!C15,burlington!C15,camden!C15,capemay!C15,cumberland!C15,essex!C15,gloucester!C15,hudson!C15,hunterdon!C15,mercer!C15,middlesex!C15,monmouth!C15,morris!C15,ocean!C15,passaic!C15,salem!C15,somerset!C15,sussex!C15,union!C15,warren!C15)</f>
        <v>0.1903</v>
      </c>
      <c r="G15" s="77">
        <f>CHOOSE('Calculation&amp;Summary'!$Q$35,atlantic!D15,bergen!D15,burlington!D15,camden!D15,capemay!D15,cumberland!D15,essex!D15,gloucester!D15,hudson!D15,hunterdon!D15,mercer!D15,middlesex!D15,monmouth!D15,morris!D15,ocean!D15,passaic!D15,salem!D15,somerset!D15,sussex!D15,union!D15,warren!D15)</f>
        <v>3.5488</v>
      </c>
      <c r="H15" s="77">
        <f>CHOOSE('Calculation&amp;Summary'!$Q$35,atlantic!E15,bergen!E15,burlington!E15,camden!E15,capemay!E15,cumberland!E15,essex!E15,gloucester!E15,hudson!E15,hunterdon!E15,mercer!E15,middlesex!E15,monmouth!E15,morris!E15,ocean!E15,passaic!E15,salem!E15,somerset!E15,sussex!E15,union!E15,warren!E15)</f>
        <v>0.622</v>
      </c>
      <c r="I15" s="77">
        <f>CHOOSE('Calculation&amp;Summary'!$Q$35,atlantic!F15,bergen!F15,burlington!F15,camden!F15,capemay!F15,cumberland!F15,essex!F15,gloucester!F15,hudson!F15,hunterdon!F15,mercer!F15,middlesex!F15,monmouth!F15,morris!F15,ocean!F15,passaic!F15,salem!F15,somerset!F15,sussex!F15,union!F15,warren!F15)</f>
        <v>1.5712999999999999</v>
      </c>
      <c r="J15" s="77">
        <f>CHOOSE('Calculation&amp;Summary'!$Q$35,atlantic!G15,bergen!G15,burlington!G15,camden!G15,capemay!G15,cumberland!G15,essex!G15,gloucester!G15,hudson!G15,hunterdon!G15,mercer!G15,middlesex!G15,monmouth!G15,morris!G15,ocean!G15,passaic!G15,salem!G15,somerset!G15,sussex!G15,union!G15,warren!G15)</f>
        <v>1.7553000000000001</v>
      </c>
      <c r="K15" s="65">
        <f t="shared" si="7"/>
        <v>354.88</v>
      </c>
      <c r="L15" s="65">
        <f t="shared" si="8"/>
        <v>202.17626616532786</v>
      </c>
      <c r="M15" s="147">
        <f t="shared" si="9"/>
        <v>19.03</v>
      </c>
      <c r="N15" s="237">
        <f t="shared" si="10"/>
        <v>12.110990899255395</v>
      </c>
      <c r="O15" s="236">
        <f t="shared" si="11"/>
        <v>59903.128734961101</v>
      </c>
      <c r="P15" s="90" t="s">
        <v>1232</v>
      </c>
      <c r="Q15" s="83">
        <f>VLOOKUP(Q$6,$C$2:$J$63,8,FALSE)</f>
        <v>1.5956999999999999</v>
      </c>
      <c r="R15" s="160" t="s">
        <v>1259</v>
      </c>
      <c r="S15" s="83">
        <f>VLOOKUP(S$6,$C$2:$J$63,8,FALSE)</f>
        <v>1.5956999999999999</v>
      </c>
      <c r="T15" s="160" t="s">
        <v>1259</v>
      </c>
      <c r="U15" s="83">
        <f>VLOOKUP(U$6,$C$2:$J$63,8,FALSE)</f>
        <v>1.5956999999999999</v>
      </c>
      <c r="V15" s="160" t="s">
        <v>1259</v>
      </c>
      <c r="W15" s="109">
        <f>(Q15*Q$10+S15*S$10+U15*U$10)/W$10</f>
        <v>1.5957000000000001</v>
      </c>
      <c r="Z15" s="91"/>
      <c r="AC15" s="131"/>
      <c r="AD15" s="129">
        <f t="shared" si="21"/>
        <v>2019</v>
      </c>
      <c r="AE15" s="420">
        <f>Assumptions!E41</f>
        <v>0</v>
      </c>
      <c r="AF15" s="421">
        <f>Assumptions!F41</f>
        <v>0</v>
      </c>
      <c r="AG15" s="143">
        <f t="shared" si="19"/>
        <v>0</v>
      </c>
      <c r="AH15" s="420">
        <f>Assumptions!G41</f>
        <v>0</v>
      </c>
      <c r="AI15" s="421">
        <f>Assumptions!H41</f>
        <v>0</v>
      </c>
      <c r="AJ15" s="143">
        <f t="shared" si="15"/>
        <v>0</v>
      </c>
      <c r="AK15" s="176"/>
      <c r="AL15" s="129">
        <f t="shared" si="22"/>
        <v>2019</v>
      </c>
      <c r="AM15" s="420">
        <f>Assumptions!J41</f>
        <v>0</v>
      </c>
      <c r="AN15" s="421">
        <f>Assumptions!K41</f>
        <v>0</v>
      </c>
      <c r="AO15" s="143">
        <f t="shared" si="16"/>
        <v>0</v>
      </c>
      <c r="AP15" s="420">
        <f>Assumptions!L41</f>
        <v>0</v>
      </c>
      <c r="AQ15" s="421">
        <f>Assumptions!M41</f>
        <v>0</v>
      </c>
      <c r="AR15" s="143">
        <f t="shared" si="17"/>
        <v>0</v>
      </c>
      <c r="AS15" s="176"/>
      <c r="AT15" s="166">
        <f t="shared" si="23"/>
        <v>2019</v>
      </c>
      <c r="AU15" s="420">
        <f>Assumptions!O41</f>
        <v>0</v>
      </c>
      <c r="AV15" s="421">
        <f>Assumptions!P41</f>
        <v>0</v>
      </c>
      <c r="AW15" s="143">
        <f t="shared" si="20"/>
        <v>0</v>
      </c>
      <c r="AX15" s="420">
        <f>Assumptions!Q41</f>
        <v>0</v>
      </c>
      <c r="AY15" s="421">
        <f>Assumptions!R41</f>
        <v>0</v>
      </c>
      <c r="AZ15" s="143">
        <f t="shared" si="24"/>
        <v>0</v>
      </c>
      <c r="BA15" s="176"/>
      <c r="BC15" s="185"/>
      <c r="BD15" s="185"/>
      <c r="BE15" s="185"/>
      <c r="BF15" s="185"/>
      <c r="BG15" s="185"/>
      <c r="BI15" s="145"/>
      <c r="BJ15" s="71"/>
      <c r="BS15" s="71"/>
    </row>
    <row r="16" spans="1:110">
      <c r="A16" s="64" t="str">
        <f t="shared" si="5"/>
        <v>15. Motor vehicle, body, trailer, and parts manufacturing</v>
      </c>
      <c r="B16" s="64">
        <f t="shared" si="6"/>
        <v>15</v>
      </c>
      <c r="C16" s="64">
        <f t="shared" si="12"/>
        <v>15</v>
      </c>
      <c r="D16" s="181" t="s">
        <v>1616</v>
      </c>
      <c r="E16" s="77">
        <f>CHOOSE('Calculation&amp;Summary'!$Q$35,atlantic!B16,bergen!B16,burlington!B16,camden!B16,capemay!B16,cumberland!B16,essex!B16,gloucester!B16,hudson!B16,hunterdon!B16,mercer!B16,middlesex!B16,monmouth!B16,morris!B16,ocean!B16,passaic!B16,salem!B16,somerset!B16,sussex!B16,union!B16,warren!B16)</f>
        <v>1.5681</v>
      </c>
      <c r="F16" s="77">
        <f>CHOOSE('Calculation&amp;Summary'!$Q$35,atlantic!C16,bergen!C16,burlington!C16,camden!C16,capemay!C16,cumberland!C16,essex!C16,gloucester!C16,hudson!C16,hunterdon!C16,mercer!C16,middlesex!C16,monmouth!C16,morris!C16,ocean!C16,passaic!C16,salem!C16,somerset!C16,sussex!C16,union!C16,warren!C16)</f>
        <v>0.1588</v>
      </c>
      <c r="G16" s="77">
        <f>CHOOSE('Calculation&amp;Summary'!$Q$35,atlantic!D16,bergen!D16,burlington!D16,camden!D16,capemay!D16,cumberland!D16,essex!D16,gloucester!D16,hudson!D16,hunterdon!D16,mercer!D16,middlesex!D16,monmouth!D16,morris!D16,ocean!D16,passaic!D16,salem!D16,somerset!D16,sussex!D16,union!D16,warren!D16)</f>
        <v>3.6131000000000002</v>
      </c>
      <c r="H16" s="77">
        <f>CHOOSE('Calculation&amp;Summary'!$Q$35,atlantic!E16,bergen!E16,burlington!E16,camden!E16,capemay!E16,cumberland!E16,essex!E16,gloucester!E16,hudson!E16,hunterdon!E16,mercer!E16,middlesex!E16,monmouth!E16,morris!E16,ocean!E16,passaic!E16,salem!E16,somerset!E16,sussex!E16,union!E16,warren!E16)</f>
        <v>0.46850000000000003</v>
      </c>
      <c r="I16" s="77">
        <f>CHOOSE('Calculation&amp;Summary'!$Q$35,atlantic!F16,bergen!F16,burlington!F16,camden!F16,capemay!F16,cumberland!F16,essex!F16,gloucester!F16,hudson!F16,hunterdon!F16,mercer!F16,middlesex!F16,monmouth!F16,morris!F16,ocean!F16,passaic!F16,salem!F16,somerset!F16,sussex!F16,union!F16,warren!F16)</f>
        <v>2.5375000000000001</v>
      </c>
      <c r="J16" s="77">
        <f>CHOOSE('Calculation&amp;Summary'!$Q$35,atlantic!G16,bergen!G16,burlington!G16,camden!G16,capemay!G16,cumberland!G16,essex!G16,gloucester!G16,hudson!G16,hunterdon!G16,mercer!G16,middlesex!G16,monmouth!G16,morris!G16,ocean!G16,passaic!G16,salem!G16,somerset!G16,sussex!G16,union!G16,warren!G16)</f>
        <v>2.161</v>
      </c>
      <c r="K16" s="65">
        <f t="shared" si="7"/>
        <v>361.31</v>
      </c>
      <c r="L16" s="65">
        <f t="shared" si="8"/>
        <v>167.19574271170754</v>
      </c>
      <c r="M16" s="147">
        <f t="shared" si="9"/>
        <v>15.879999999999999</v>
      </c>
      <c r="N16" s="237">
        <f t="shared" si="10"/>
        <v>6.2581280788177338</v>
      </c>
      <c r="O16" s="236">
        <f t="shared" si="11"/>
        <v>37429.948737441875</v>
      </c>
      <c r="P16" s="90" t="s">
        <v>31</v>
      </c>
      <c r="Q16" s="82">
        <f>Q20*Q19/1000000</f>
        <v>564.22470107181141</v>
      </c>
      <c r="R16" s="160" t="s">
        <v>1258</v>
      </c>
      <c r="S16" s="82">
        <f>S20*S19/1000000</f>
        <v>0</v>
      </c>
      <c r="T16" s="160" t="s">
        <v>1258</v>
      </c>
      <c r="U16" s="82">
        <f>U20*U19/1000000</f>
        <v>0</v>
      </c>
      <c r="V16" s="160" t="s">
        <v>1258</v>
      </c>
      <c r="W16" s="110">
        <f>SUM(U16,S16,Q16)</f>
        <v>564.22470107181141</v>
      </c>
      <c r="Z16" s="91"/>
      <c r="AC16" s="131"/>
      <c r="AD16" s="129">
        <f t="shared" si="21"/>
        <v>2020</v>
      </c>
      <c r="AE16" s="420">
        <f>Assumptions!E42</f>
        <v>0</v>
      </c>
      <c r="AF16" s="421">
        <f>Assumptions!F42</f>
        <v>0</v>
      </c>
      <c r="AG16" s="143">
        <f t="shared" si="19"/>
        <v>0</v>
      </c>
      <c r="AH16" s="420">
        <f>Assumptions!G42</f>
        <v>0</v>
      </c>
      <c r="AI16" s="421">
        <f>Assumptions!H42</f>
        <v>0</v>
      </c>
      <c r="AJ16" s="143">
        <f t="shared" si="15"/>
        <v>0</v>
      </c>
      <c r="AK16" s="176"/>
      <c r="AL16" s="129">
        <f t="shared" si="22"/>
        <v>2020</v>
      </c>
      <c r="AM16" s="420">
        <f>Assumptions!J42</f>
        <v>0</v>
      </c>
      <c r="AN16" s="421">
        <f>Assumptions!K42</f>
        <v>0</v>
      </c>
      <c r="AO16" s="143">
        <f t="shared" si="16"/>
        <v>0</v>
      </c>
      <c r="AP16" s="420">
        <f>Assumptions!L42</f>
        <v>0</v>
      </c>
      <c r="AQ16" s="421">
        <f>Assumptions!M42</f>
        <v>0</v>
      </c>
      <c r="AR16" s="143">
        <f t="shared" si="17"/>
        <v>0</v>
      </c>
      <c r="AS16" s="176"/>
      <c r="AT16" s="166">
        <f t="shared" si="23"/>
        <v>2020</v>
      </c>
      <c r="AU16" s="420">
        <f>Assumptions!O42</f>
        <v>0</v>
      </c>
      <c r="AV16" s="421">
        <f>Assumptions!P42</f>
        <v>0</v>
      </c>
      <c r="AW16" s="143">
        <f t="shared" si="20"/>
        <v>0</v>
      </c>
      <c r="AX16" s="420">
        <f>Assumptions!Q42</f>
        <v>0</v>
      </c>
      <c r="AY16" s="421">
        <f>Assumptions!R42</f>
        <v>0</v>
      </c>
      <c r="AZ16" s="143">
        <f t="shared" si="24"/>
        <v>0</v>
      </c>
      <c r="BA16" s="176"/>
      <c r="BC16" s="185"/>
      <c r="BD16" s="187"/>
      <c r="BE16" s="185"/>
      <c r="BF16" s="189"/>
      <c r="BG16" s="186"/>
      <c r="BJ16" s="71"/>
      <c r="BS16" s="71"/>
      <c r="CB16" s="71"/>
      <c r="CK16" s="71"/>
      <c r="CT16" s="71"/>
      <c r="DC16" s="71"/>
    </row>
    <row r="17" spans="1:110">
      <c r="A17" s="64" t="str">
        <f t="shared" si="5"/>
        <v>16. Other transportation equipment manufacturing</v>
      </c>
      <c r="B17" s="64">
        <f t="shared" si="6"/>
        <v>16</v>
      </c>
      <c r="C17" s="64">
        <f t="shared" si="12"/>
        <v>16</v>
      </c>
      <c r="D17" s="181" t="s">
        <v>1617</v>
      </c>
      <c r="E17" s="77">
        <f>CHOOSE('Calculation&amp;Summary'!$Q$35,atlantic!B17,bergen!B17,burlington!B17,camden!B17,capemay!B17,cumberland!B17,essex!B17,gloucester!B17,hudson!B17,hunterdon!B17,mercer!B17,middlesex!B17,monmouth!B17,morris!B17,ocean!B17,passaic!B17,salem!B17,somerset!B17,sussex!B17,union!B17,warren!B17)</f>
        <v>1.7847999999999999</v>
      </c>
      <c r="F17" s="77">
        <f>CHOOSE('Calculation&amp;Summary'!$Q$35,atlantic!C17,bergen!C17,burlington!C17,camden!C17,capemay!C17,cumberland!C17,essex!C17,gloucester!C17,hudson!C17,hunterdon!C17,mercer!C17,middlesex!C17,monmouth!C17,morris!C17,ocean!C17,passaic!C17,salem!C17,somerset!C17,sussex!C17,union!C17,warren!C17)</f>
        <v>0.21199999999999999</v>
      </c>
      <c r="G17" s="77">
        <f>CHOOSE('Calculation&amp;Summary'!$Q$35,atlantic!D17,bergen!D17,burlington!D17,camden!D17,capemay!D17,cumberland!D17,essex!D17,gloucester!D17,hudson!D17,hunterdon!D17,mercer!D17,middlesex!D17,monmouth!D17,morris!D17,ocean!D17,passaic!D17,salem!D17,somerset!D17,sussex!D17,union!D17,warren!D17)</f>
        <v>4.4654999999999996</v>
      </c>
      <c r="H17" s="77">
        <f>CHOOSE('Calculation&amp;Summary'!$Q$35,atlantic!E17,bergen!E17,burlington!E17,camden!E17,capemay!E17,cumberland!E17,essex!E17,gloucester!E17,hudson!E17,hunterdon!E17,mercer!E17,middlesex!E17,monmouth!E17,morris!E17,ocean!E17,passaic!E17,salem!E17,somerset!E17,sussex!E17,union!E17,warren!E17)</f>
        <v>0.78190000000000004</v>
      </c>
      <c r="I17" s="77">
        <f>CHOOSE('Calculation&amp;Summary'!$Q$35,atlantic!F17,bergen!F17,burlington!F17,camden!F17,capemay!F17,cumberland!F17,essex!F17,gloucester!F17,hudson!F17,hunterdon!F17,mercer!F17,middlesex!F17,monmouth!F17,morris!F17,ocean!F17,passaic!F17,salem!F17,somerset!F17,sussex!F17,union!F17,warren!F17)</f>
        <v>3.3877000000000002</v>
      </c>
      <c r="J17" s="77">
        <f>CHOOSE('Calculation&amp;Summary'!$Q$35,atlantic!G17,bergen!G17,burlington!G17,camden!G17,capemay!G17,cumberland!G17,essex!G17,gloucester!G17,hudson!G17,hunterdon!G17,mercer!G17,middlesex!G17,monmouth!G17,morris!G17,ocean!G17,passaic!G17,salem!G17,somerset!G17,sussex!G17,union!G17,warren!G17)</f>
        <v>2.6795</v>
      </c>
      <c r="K17" s="65">
        <f t="shared" si="7"/>
        <v>446.54999999999995</v>
      </c>
      <c r="L17" s="65">
        <f t="shared" si="8"/>
        <v>166.65422653480124</v>
      </c>
      <c r="M17" s="147">
        <f t="shared" si="9"/>
        <v>21.2</v>
      </c>
      <c r="N17" s="237">
        <f t="shared" si="10"/>
        <v>6.2579331109602379</v>
      </c>
      <c r="O17" s="236">
        <f t="shared" si="11"/>
        <v>37550.401457435808</v>
      </c>
      <c r="P17" s="90" t="s">
        <v>1223</v>
      </c>
      <c r="Q17" s="84">
        <f>Q16-Q14</f>
        <v>210.63398786017297</v>
      </c>
      <c r="R17" s="160" t="s">
        <v>1254</v>
      </c>
      <c r="S17" s="84">
        <f>S16-S14</f>
        <v>0</v>
      </c>
      <c r="T17" s="160" t="s">
        <v>1254</v>
      </c>
      <c r="U17" s="84">
        <f>U16-U14</f>
        <v>0</v>
      </c>
      <c r="V17" s="160" t="s">
        <v>1254</v>
      </c>
      <c r="W17" s="111">
        <f>SUM(U17,S17,Q17)</f>
        <v>210.63398786017297</v>
      </c>
      <c r="Z17" s="91"/>
      <c r="AC17" s="131"/>
      <c r="AD17" s="129">
        <f t="shared" si="21"/>
        <v>2021</v>
      </c>
      <c r="AE17" s="420">
        <f>Assumptions!E43</f>
        <v>0</v>
      </c>
      <c r="AF17" s="421">
        <f>Assumptions!F43</f>
        <v>0</v>
      </c>
      <c r="AG17" s="143">
        <f t="shared" si="19"/>
        <v>0</v>
      </c>
      <c r="AH17" s="420">
        <f>Assumptions!G43</f>
        <v>0</v>
      </c>
      <c r="AI17" s="421">
        <f>Assumptions!H43</f>
        <v>0</v>
      </c>
      <c r="AJ17" s="143">
        <f t="shared" si="15"/>
        <v>0</v>
      </c>
      <c r="AK17" s="176"/>
      <c r="AL17" s="129">
        <f t="shared" si="22"/>
        <v>2021</v>
      </c>
      <c r="AM17" s="420">
        <f>Assumptions!J43</f>
        <v>0</v>
      </c>
      <c r="AN17" s="421">
        <f>Assumptions!K43</f>
        <v>0</v>
      </c>
      <c r="AO17" s="143">
        <f t="shared" si="16"/>
        <v>0</v>
      </c>
      <c r="AP17" s="420">
        <f>Assumptions!L43</f>
        <v>0</v>
      </c>
      <c r="AQ17" s="421">
        <f>Assumptions!M43</f>
        <v>0</v>
      </c>
      <c r="AR17" s="143">
        <f t="shared" si="17"/>
        <v>0</v>
      </c>
      <c r="AS17" s="176"/>
      <c r="AT17" s="166">
        <f t="shared" si="23"/>
        <v>2021</v>
      </c>
      <c r="AU17" s="420">
        <f>Assumptions!O43</f>
        <v>0</v>
      </c>
      <c r="AV17" s="421">
        <f>Assumptions!P43</f>
        <v>0</v>
      </c>
      <c r="AW17" s="143">
        <f t="shared" si="20"/>
        <v>0</v>
      </c>
      <c r="AX17" s="420">
        <f>Assumptions!Q43</f>
        <v>0</v>
      </c>
      <c r="AY17" s="421">
        <f>Assumptions!R43</f>
        <v>0</v>
      </c>
      <c r="AZ17" s="143">
        <f t="shared" si="24"/>
        <v>0</v>
      </c>
      <c r="BA17" s="176"/>
      <c r="BC17" s="185"/>
      <c r="BD17" s="187"/>
      <c r="BE17" s="185"/>
      <c r="BF17" s="189"/>
      <c r="BG17" s="186"/>
      <c r="BH17" s="70"/>
      <c r="BJ17" s="71"/>
      <c r="BK17" s="24"/>
      <c r="BM17" s="71"/>
      <c r="BQ17" s="70"/>
      <c r="BS17" s="71"/>
      <c r="BT17" s="24"/>
      <c r="BV17" s="71"/>
      <c r="BZ17" s="70"/>
      <c r="CB17" s="71"/>
      <c r="CC17" s="24"/>
      <c r="CE17" s="71"/>
      <c r="CI17" s="70"/>
      <c r="CK17" s="71"/>
      <c r="CL17" s="24"/>
      <c r="CN17" s="71"/>
      <c r="CR17" s="70"/>
      <c r="CT17" s="71"/>
      <c r="CU17" s="24"/>
      <c r="CW17" s="71"/>
      <c r="DA17" s="70"/>
      <c r="DC17" s="71"/>
      <c r="DD17" s="24"/>
      <c r="DF17" s="71"/>
    </row>
    <row r="18" spans="1:110">
      <c r="A18" s="64" t="str">
        <f t="shared" si="5"/>
        <v>17. Furniture and related product manufacturing</v>
      </c>
      <c r="B18" s="64">
        <f t="shared" si="6"/>
        <v>17</v>
      </c>
      <c r="C18" s="64">
        <f t="shared" si="12"/>
        <v>17</v>
      </c>
      <c r="D18" s="181" t="s">
        <v>1618</v>
      </c>
      <c r="E18" s="77">
        <f>CHOOSE('Calculation&amp;Summary'!$Q$35,atlantic!B18,bergen!B18,burlington!B18,camden!B18,capemay!B18,cumberland!B18,essex!B18,gloucester!B18,hudson!B18,hunterdon!B18,mercer!B18,middlesex!B18,monmouth!B18,morris!B18,ocean!B18,passaic!B18,salem!B18,somerset!B18,sussex!B18,union!B18,warren!B18)</f>
        <v>1.482</v>
      </c>
      <c r="F18" s="77">
        <f>CHOOSE('Calculation&amp;Summary'!$Q$35,atlantic!C18,bergen!C18,burlington!C18,camden!C18,capemay!C18,cumberland!C18,essex!C18,gloucester!C18,hudson!C18,hunterdon!C18,mercer!C18,middlesex!C18,monmouth!C18,morris!C18,ocean!C18,passaic!C18,salem!C18,somerset!C18,sussex!C18,union!C18,warren!C18)</f>
        <v>0.2732</v>
      </c>
      <c r="G18" s="77">
        <f>CHOOSE('Calculation&amp;Summary'!$Q$35,atlantic!D18,bergen!D18,burlington!D18,camden!D18,capemay!D18,cumberland!D18,essex!D18,gloucester!D18,hudson!D18,hunterdon!D18,mercer!D18,middlesex!D18,monmouth!D18,morris!D18,ocean!D18,passaic!D18,salem!D18,somerset!D18,sussex!D18,union!D18,warren!D18)</f>
        <v>5.4783999999999997</v>
      </c>
      <c r="H18" s="77">
        <f>CHOOSE('Calculation&amp;Summary'!$Q$35,atlantic!E18,bergen!E18,burlington!E18,camden!E18,capemay!E18,cumberland!E18,essex!E18,gloucester!E18,hudson!E18,hunterdon!E18,mercer!E18,middlesex!E18,monmouth!E18,morris!E18,ocean!E18,passaic!E18,salem!E18,somerset!E18,sussex!E18,union!E18,warren!E18)</f>
        <v>0.78569999999999995</v>
      </c>
      <c r="I18" s="77">
        <f>CHOOSE('Calculation&amp;Summary'!$Q$35,atlantic!F18,bergen!F18,burlington!F18,camden!F18,capemay!F18,cumberland!F18,essex!F18,gloucester!F18,hudson!F18,hunterdon!F18,mercer!F18,middlesex!F18,monmouth!F18,morris!F18,ocean!F18,passaic!F18,salem!F18,somerset!F18,sussex!F18,union!F18,warren!F18)</f>
        <v>1.4327000000000001</v>
      </c>
      <c r="J18" s="77">
        <f>CHOOSE('Calculation&amp;Summary'!$Q$35,atlantic!G18,bergen!G18,burlington!G18,camden!G18,capemay!G18,cumberland!G18,essex!G18,gloucester!G18,hudson!G18,hunterdon!G18,mercer!G18,middlesex!G18,monmouth!G18,morris!G18,ocean!G18,passaic!G18,salem!G18,somerset!G18,sussex!G18,union!G18,warren!G18)</f>
        <v>1.5548999999999999</v>
      </c>
      <c r="K18" s="65">
        <f t="shared" si="7"/>
        <v>547.83999999999992</v>
      </c>
      <c r="L18" s="65">
        <f t="shared" si="8"/>
        <v>352.33133963598942</v>
      </c>
      <c r="M18" s="147">
        <f t="shared" si="9"/>
        <v>27.32</v>
      </c>
      <c r="N18" s="237">
        <f t="shared" si="10"/>
        <v>19.06889090528373</v>
      </c>
      <c r="O18" s="236">
        <f t="shared" si="11"/>
        <v>54122.040136948148</v>
      </c>
      <c r="P18" s="90"/>
      <c r="Q18" s="79"/>
      <c r="R18" s="160"/>
      <c r="S18" s="79"/>
      <c r="T18" s="160"/>
      <c r="U18" s="79"/>
      <c r="V18" s="160"/>
      <c r="W18" s="108"/>
      <c r="Z18" s="91"/>
      <c r="AC18" s="131"/>
      <c r="AD18" s="129">
        <f t="shared" si="21"/>
        <v>2022</v>
      </c>
      <c r="AE18" s="420">
        <f>Assumptions!E44</f>
        <v>0</v>
      </c>
      <c r="AF18" s="421">
        <f>Assumptions!F44</f>
        <v>0</v>
      </c>
      <c r="AG18" s="143">
        <f t="shared" si="19"/>
        <v>0</v>
      </c>
      <c r="AH18" s="420">
        <f>Assumptions!G44</f>
        <v>0</v>
      </c>
      <c r="AI18" s="421">
        <f>Assumptions!H44</f>
        <v>0</v>
      </c>
      <c r="AJ18" s="143">
        <f t="shared" si="15"/>
        <v>0</v>
      </c>
      <c r="AK18" s="176"/>
      <c r="AL18" s="129">
        <f t="shared" si="22"/>
        <v>2022</v>
      </c>
      <c r="AM18" s="420">
        <f>Assumptions!J44</f>
        <v>0</v>
      </c>
      <c r="AN18" s="421">
        <f>Assumptions!K44</f>
        <v>0</v>
      </c>
      <c r="AO18" s="143">
        <f t="shared" si="16"/>
        <v>0</v>
      </c>
      <c r="AP18" s="420">
        <f>Assumptions!L44</f>
        <v>0</v>
      </c>
      <c r="AQ18" s="421">
        <f>Assumptions!M44</f>
        <v>0</v>
      </c>
      <c r="AR18" s="143">
        <f t="shared" si="17"/>
        <v>0</v>
      </c>
      <c r="AS18" s="176"/>
      <c r="AT18" s="166">
        <f t="shared" si="23"/>
        <v>2022</v>
      </c>
      <c r="AU18" s="420">
        <f>Assumptions!O44</f>
        <v>0</v>
      </c>
      <c r="AV18" s="421">
        <f>Assumptions!P44</f>
        <v>0</v>
      </c>
      <c r="AW18" s="143">
        <f t="shared" si="20"/>
        <v>0</v>
      </c>
      <c r="AX18" s="420">
        <f>Assumptions!Q44</f>
        <v>0</v>
      </c>
      <c r="AY18" s="421">
        <f>Assumptions!R44</f>
        <v>0</v>
      </c>
      <c r="AZ18" s="143">
        <f t="shared" si="24"/>
        <v>0</v>
      </c>
      <c r="BA18" s="176"/>
      <c r="BC18" s="185"/>
      <c r="BD18" s="187"/>
      <c r="BE18" s="185"/>
      <c r="BF18" s="189"/>
      <c r="BG18" s="186"/>
      <c r="BH18" s="70"/>
      <c r="BJ18" s="71"/>
      <c r="BK18" s="24"/>
      <c r="BM18" s="71"/>
      <c r="BQ18" s="70"/>
      <c r="BS18" s="71"/>
      <c r="BT18" s="24"/>
      <c r="BV18" s="71"/>
      <c r="BZ18" s="70"/>
      <c r="CB18" s="71"/>
      <c r="CC18" s="24"/>
      <c r="CE18" s="71"/>
      <c r="CI18" s="70"/>
      <c r="CK18" s="71"/>
      <c r="CL18" s="24"/>
      <c r="CN18" s="71"/>
      <c r="CR18" s="70"/>
      <c r="CT18" s="71"/>
      <c r="CU18" s="24"/>
      <c r="CW18" s="71"/>
      <c r="DA18" s="70"/>
      <c r="DC18" s="71"/>
      <c r="DD18" s="24"/>
      <c r="DF18" s="71"/>
    </row>
    <row r="19" spans="1:110" ht="26.4" thickBot="1">
      <c r="A19" s="64" t="str">
        <f t="shared" si="5"/>
        <v>18. Miscellaneous manufacturing</v>
      </c>
      <c r="B19" s="64">
        <f t="shared" si="6"/>
        <v>18</v>
      </c>
      <c r="C19" s="64">
        <f t="shared" si="12"/>
        <v>18</v>
      </c>
      <c r="D19" s="181" t="s">
        <v>1619</v>
      </c>
      <c r="E19" s="77">
        <f>CHOOSE('Calculation&amp;Summary'!$Q$35,atlantic!B19,bergen!B19,burlington!B19,camden!B19,capemay!B19,cumberland!B19,essex!B19,gloucester!B19,hudson!B19,hunterdon!B19,mercer!B19,middlesex!B19,monmouth!B19,morris!B19,ocean!B19,passaic!B19,salem!B19,somerset!B19,sussex!B19,union!B19,warren!B19)</f>
        <v>1.4491000000000001</v>
      </c>
      <c r="F19" s="77">
        <f>CHOOSE('Calculation&amp;Summary'!$Q$35,atlantic!C19,bergen!C19,burlington!C19,camden!C19,capemay!C19,cumberland!C19,essex!C19,gloucester!C19,hudson!C19,hunterdon!C19,mercer!C19,middlesex!C19,monmouth!C19,morris!C19,ocean!C19,passaic!C19,salem!C19,somerset!C19,sussex!C19,union!C19,warren!C19)</f>
        <v>0.27060000000000001</v>
      </c>
      <c r="G19" s="77">
        <f>CHOOSE('Calculation&amp;Summary'!$Q$35,atlantic!D19,bergen!D19,burlington!D19,camden!D19,capemay!D19,cumberland!D19,essex!D19,gloucester!D19,hudson!D19,hunterdon!D19,mercer!D19,middlesex!D19,monmouth!D19,morris!D19,ocean!D19,passaic!D19,salem!D19,somerset!D19,sussex!D19,union!D19,warren!D19)</f>
        <v>4.4646999999999997</v>
      </c>
      <c r="H19" s="77">
        <f>CHOOSE('Calculation&amp;Summary'!$Q$35,atlantic!E19,bergen!E19,burlington!E19,camden!E19,capemay!E19,cumberland!E19,essex!E19,gloucester!E19,hudson!E19,hunterdon!E19,mercer!E19,middlesex!E19,monmouth!E19,morris!E19,ocean!E19,passaic!E19,salem!E19,somerset!E19,sussex!E19,union!E19,warren!E19)</f>
        <v>0.84630000000000005</v>
      </c>
      <c r="I19" s="77">
        <f>CHOOSE('Calculation&amp;Summary'!$Q$35,atlantic!F19,bergen!F19,burlington!F19,camden!F19,capemay!F19,cumberland!F19,essex!F19,gloucester!F19,hudson!F19,hunterdon!F19,mercer!F19,middlesex!F19,monmouth!F19,morris!F19,ocean!F19,passaic!F19,salem!F19,somerset!F19,sussex!F19,union!F19,warren!F19)</f>
        <v>1.4094</v>
      </c>
      <c r="J19" s="77">
        <f>CHOOSE('Calculation&amp;Summary'!$Q$35,atlantic!G19,bergen!G19,burlington!G19,camden!G19,capemay!G19,cumberland!G19,essex!G19,gloucester!G19,hudson!G19,hunterdon!G19,mercer!G19,middlesex!G19,monmouth!G19,morris!G19,ocean!G19,passaic!G19,salem!G19,somerset!G19,sussex!G19,union!G19,warren!G19)</f>
        <v>1.6845000000000001</v>
      </c>
      <c r="K19" s="65">
        <f t="shared" si="7"/>
        <v>446.46999999999997</v>
      </c>
      <c r="L19" s="65">
        <f t="shared" si="8"/>
        <v>265.04600771742355</v>
      </c>
      <c r="M19" s="147">
        <f t="shared" si="9"/>
        <v>27.060000000000002</v>
      </c>
      <c r="N19" s="237">
        <f t="shared" si="10"/>
        <v>19.199659429544489</v>
      </c>
      <c r="O19" s="236">
        <f t="shared" si="11"/>
        <v>72438.968596025923</v>
      </c>
      <c r="P19" s="90" t="s">
        <v>1234</v>
      </c>
      <c r="Q19" s="83">
        <f>VLOOKUP(Q$6,$C$2:$J$63,5,FALSE)</f>
        <v>6.4923999999999999</v>
      </c>
      <c r="R19" s="160" t="s">
        <v>1256</v>
      </c>
      <c r="S19" s="83">
        <f>VLOOKUP(S$6,$C$2:$J$63,5,FALSE)</f>
        <v>6.4923999999999999</v>
      </c>
      <c r="T19" s="160" t="s">
        <v>1256</v>
      </c>
      <c r="U19" s="83">
        <f>VLOOKUP(U$6,$C$2:$J$63,5,FALSE)</f>
        <v>6.4923999999999999</v>
      </c>
      <c r="V19" s="160" t="s">
        <v>1256</v>
      </c>
      <c r="W19" s="109">
        <f>(Q19*Q$10+S19*S$10+U19*U$10)/W$10</f>
        <v>6.4923999999999999</v>
      </c>
      <c r="Z19" s="91"/>
      <c r="AC19" s="131"/>
      <c r="AD19" s="129">
        <f t="shared" si="21"/>
        <v>2023</v>
      </c>
      <c r="AE19" s="420">
        <f>Assumptions!E45</f>
        <v>0</v>
      </c>
      <c r="AF19" s="421">
        <f>Assumptions!F45</f>
        <v>0</v>
      </c>
      <c r="AG19" s="143">
        <f t="shared" si="19"/>
        <v>0</v>
      </c>
      <c r="AH19" s="420">
        <f>Assumptions!G45</f>
        <v>0</v>
      </c>
      <c r="AI19" s="421">
        <f>Assumptions!H45</f>
        <v>0</v>
      </c>
      <c r="AJ19" s="143">
        <f t="shared" si="15"/>
        <v>0</v>
      </c>
      <c r="AK19" s="176"/>
      <c r="AL19" s="129">
        <f t="shared" si="22"/>
        <v>2023</v>
      </c>
      <c r="AM19" s="420">
        <f>Assumptions!J45</f>
        <v>0</v>
      </c>
      <c r="AN19" s="421">
        <f>Assumptions!K45</f>
        <v>0</v>
      </c>
      <c r="AO19" s="143">
        <f t="shared" si="16"/>
        <v>0</v>
      </c>
      <c r="AP19" s="420">
        <f>Assumptions!L45</f>
        <v>0</v>
      </c>
      <c r="AQ19" s="421">
        <f>Assumptions!M45</f>
        <v>0</v>
      </c>
      <c r="AR19" s="143">
        <f t="shared" si="17"/>
        <v>0</v>
      </c>
      <c r="AS19" s="176"/>
      <c r="AT19" s="166">
        <f t="shared" si="23"/>
        <v>2023</v>
      </c>
      <c r="AU19" s="420">
        <f>Assumptions!O45</f>
        <v>0</v>
      </c>
      <c r="AV19" s="421">
        <f>Assumptions!P45</f>
        <v>0</v>
      </c>
      <c r="AW19" s="143">
        <f t="shared" si="20"/>
        <v>0</v>
      </c>
      <c r="AX19" s="420">
        <f>Assumptions!Q45</f>
        <v>0</v>
      </c>
      <c r="AY19" s="421">
        <f>Assumptions!R45</f>
        <v>0</v>
      </c>
      <c r="AZ19" s="143">
        <f t="shared" si="24"/>
        <v>0</v>
      </c>
      <c r="BA19" s="176"/>
      <c r="BC19" s="185"/>
      <c r="BD19" s="187"/>
      <c r="BE19" s="185"/>
      <c r="BF19" s="189"/>
      <c r="BG19" s="186"/>
      <c r="BH19" s="70"/>
      <c r="BJ19" s="71"/>
      <c r="BK19" s="24"/>
      <c r="BM19" s="71"/>
      <c r="BQ19" s="70"/>
      <c r="BS19" s="71"/>
      <c r="BT19" s="24"/>
      <c r="BV19" s="71"/>
      <c r="BZ19" s="70"/>
      <c r="CB19" s="71"/>
      <c r="CC19" s="24"/>
      <c r="CE19" s="71"/>
      <c r="CI19" s="70"/>
      <c r="CK19" s="71"/>
      <c r="CL19" s="24"/>
      <c r="CN19" s="71"/>
      <c r="CR19" s="70"/>
      <c r="CT19" s="71"/>
      <c r="CU19" s="24"/>
      <c r="CW19" s="71"/>
      <c r="DA19" s="70"/>
      <c r="DC19" s="71"/>
      <c r="DD19" s="24"/>
      <c r="DF19" s="71"/>
    </row>
    <row r="20" spans="1:110" ht="26.4" thickBot="1">
      <c r="A20" s="64" t="str">
        <f t="shared" si="5"/>
        <v>19. Food, beverage, and tobacco product manufacturing</v>
      </c>
      <c r="B20" s="64">
        <f t="shared" si="6"/>
        <v>19</v>
      </c>
      <c r="C20" s="64">
        <f t="shared" si="12"/>
        <v>19</v>
      </c>
      <c r="D20" s="181" t="s">
        <v>1620</v>
      </c>
      <c r="E20" s="77">
        <f>CHOOSE('Calculation&amp;Summary'!$Q$35,atlantic!B20,bergen!B20,burlington!B20,camden!B20,capemay!B20,cumberland!B20,essex!B20,gloucester!B20,hudson!B20,hunterdon!B20,mercer!B20,middlesex!B20,monmouth!B20,morris!B20,ocean!B20,passaic!B20,salem!B20,somerset!B20,sussex!B20,union!B20,warren!B20)</f>
        <v>1.5649</v>
      </c>
      <c r="F20" s="77">
        <f>CHOOSE('Calculation&amp;Summary'!$Q$35,atlantic!C20,bergen!C20,burlington!C20,camden!C20,capemay!C20,cumberland!C20,essex!C20,gloucester!C20,hudson!C20,hunterdon!C20,mercer!C20,middlesex!C20,monmouth!C20,morris!C20,ocean!C20,passaic!C20,salem!C20,somerset!C20,sussex!C20,union!C20,warren!C20)</f>
        <v>0.1386</v>
      </c>
      <c r="G20" s="77">
        <f>CHOOSE('Calculation&amp;Summary'!$Q$35,atlantic!D20,bergen!D20,burlington!D20,camden!D20,capemay!D20,cumberland!D20,essex!D20,gloucester!D20,hudson!D20,hunterdon!D20,mercer!D20,middlesex!D20,monmouth!D20,morris!D20,ocean!D20,passaic!D20,salem!D20,somerset!D20,sussex!D20,union!D20,warren!D20)</f>
        <v>2.9117999999999999</v>
      </c>
      <c r="H20" s="77">
        <f>CHOOSE('Calculation&amp;Summary'!$Q$35,atlantic!E20,bergen!E20,burlington!E20,camden!E20,capemay!E20,cumberland!E20,essex!E20,gloucester!E20,hudson!E20,hunterdon!E20,mercer!E20,middlesex!E20,monmouth!E20,morris!E20,ocean!E20,passaic!E20,salem!E20,somerset!E20,sussex!E20,union!E20,warren!E20)</f>
        <v>0.55989999999999995</v>
      </c>
      <c r="I20" s="77">
        <f>CHOOSE('Calculation&amp;Summary'!$Q$35,atlantic!F20,bergen!F20,burlington!F20,camden!F20,capemay!F20,cumberland!F20,essex!F20,gloucester!F20,hudson!F20,hunterdon!F20,mercer!F20,middlesex!F20,monmouth!F20,morris!F20,ocean!F20,passaic!F20,salem!F20,somerset!F20,sussex!F20,union!F20,warren!F20)</f>
        <v>2.7418</v>
      </c>
      <c r="J20" s="77">
        <f>CHOOSE('Calculation&amp;Summary'!$Q$35,atlantic!G20,bergen!G20,burlington!G20,camden!G20,capemay!G20,cumberland!G20,essex!G20,gloucester!G20,hudson!G20,hunterdon!G20,mercer!G20,middlesex!G20,monmouth!G20,morris!G20,ocean!G20,passaic!G20,salem!G20,somerset!G20,sussex!G20,union!G20,warren!G20)</f>
        <v>2.5827</v>
      </c>
      <c r="K20" s="65">
        <f t="shared" si="7"/>
        <v>291.18</v>
      </c>
      <c r="L20" s="65">
        <f t="shared" si="8"/>
        <v>112.74247880125451</v>
      </c>
      <c r="M20" s="147">
        <f t="shared" si="9"/>
        <v>13.86</v>
      </c>
      <c r="N20" s="237">
        <f t="shared" si="10"/>
        <v>5.0550733095047047</v>
      </c>
      <c r="O20" s="236">
        <f t="shared" si="11"/>
        <v>44837.344036189985</v>
      </c>
      <c r="P20" s="90" t="s">
        <v>1225</v>
      </c>
      <c r="Q20" s="546">
        <f>Q26/Q25</f>
        <v>86905412.647374079</v>
      </c>
      <c r="R20" s="160" t="s">
        <v>1267</v>
      </c>
      <c r="S20" s="546">
        <f>S26/S25</f>
        <v>0</v>
      </c>
      <c r="T20" s="160" t="s">
        <v>1267</v>
      </c>
      <c r="U20" s="546">
        <f>U26/U25</f>
        <v>0</v>
      </c>
      <c r="V20" s="160" t="s">
        <v>1267</v>
      </c>
      <c r="W20" s="198">
        <f>SUM(U20,S20,Q20)</f>
        <v>86905412.647374079</v>
      </c>
      <c r="Z20" s="91"/>
      <c r="AC20" s="131"/>
      <c r="AD20" s="129">
        <f t="shared" si="21"/>
        <v>2024</v>
      </c>
      <c r="AE20" s="420">
        <f>Assumptions!E46</f>
        <v>0</v>
      </c>
      <c r="AF20" s="421">
        <f>Assumptions!F46</f>
        <v>0</v>
      </c>
      <c r="AG20" s="143">
        <f t="shared" si="19"/>
        <v>0</v>
      </c>
      <c r="AH20" s="420">
        <f>Assumptions!G46</f>
        <v>0</v>
      </c>
      <c r="AI20" s="421">
        <f>Assumptions!H46</f>
        <v>0</v>
      </c>
      <c r="AJ20" s="143">
        <f t="shared" si="15"/>
        <v>0</v>
      </c>
      <c r="AK20" s="176"/>
      <c r="AL20" s="129">
        <f t="shared" si="22"/>
        <v>2024</v>
      </c>
      <c r="AM20" s="420">
        <f>Assumptions!J46</f>
        <v>0</v>
      </c>
      <c r="AN20" s="421">
        <f>Assumptions!K46</f>
        <v>0</v>
      </c>
      <c r="AO20" s="143">
        <f t="shared" si="16"/>
        <v>0</v>
      </c>
      <c r="AP20" s="420">
        <f>Assumptions!L46</f>
        <v>0</v>
      </c>
      <c r="AQ20" s="421">
        <f>Assumptions!M46</f>
        <v>0</v>
      </c>
      <c r="AR20" s="143">
        <f t="shared" si="17"/>
        <v>0</v>
      </c>
      <c r="AS20" s="176"/>
      <c r="AT20" s="166">
        <f t="shared" si="23"/>
        <v>2024</v>
      </c>
      <c r="AU20" s="420">
        <f>Assumptions!O46</f>
        <v>0</v>
      </c>
      <c r="AV20" s="421">
        <f>Assumptions!P46</f>
        <v>0</v>
      </c>
      <c r="AW20" s="143">
        <f t="shared" si="20"/>
        <v>0</v>
      </c>
      <c r="AX20" s="420">
        <f>Assumptions!Q46</f>
        <v>0</v>
      </c>
      <c r="AY20" s="421">
        <f>Assumptions!R46</f>
        <v>0</v>
      </c>
      <c r="AZ20" s="143">
        <f t="shared" si="24"/>
        <v>0</v>
      </c>
      <c r="BA20" s="176"/>
      <c r="BC20" s="185"/>
      <c r="BD20" s="187"/>
      <c r="BE20" s="185"/>
      <c r="BF20" s="190"/>
      <c r="BG20" s="186"/>
      <c r="BH20" s="70"/>
      <c r="BJ20" s="71"/>
      <c r="BK20" s="24"/>
      <c r="BM20" s="71"/>
      <c r="BQ20" s="70"/>
      <c r="BS20" s="71"/>
      <c r="BT20" s="24"/>
      <c r="BV20" s="71"/>
      <c r="BZ20" s="70"/>
      <c r="CB20" s="71"/>
      <c r="CC20" s="24"/>
      <c r="CE20" s="71"/>
      <c r="CI20" s="70"/>
      <c r="CK20" s="71"/>
      <c r="CL20" s="24"/>
      <c r="CN20" s="71"/>
      <c r="CR20" s="70"/>
      <c r="CT20" s="71"/>
      <c r="CU20" s="24"/>
      <c r="CW20" s="71"/>
      <c r="DA20" s="70"/>
      <c r="DC20" s="71"/>
      <c r="DD20" s="24"/>
      <c r="DF20" s="71"/>
    </row>
    <row r="21" spans="1:110">
      <c r="A21" s="64" t="str">
        <f t="shared" si="5"/>
        <v>20. Textile and textile product mills</v>
      </c>
      <c r="B21" s="64">
        <f t="shared" si="6"/>
        <v>20</v>
      </c>
      <c r="C21" s="64">
        <f t="shared" si="12"/>
        <v>20</v>
      </c>
      <c r="D21" s="181" t="s">
        <v>1621</v>
      </c>
      <c r="E21" s="77">
        <f>CHOOSE('Calculation&amp;Summary'!$Q$35,atlantic!B21,bergen!B21,burlington!B21,camden!B21,capemay!B21,cumberland!B21,essex!B21,gloucester!B21,hudson!B21,hunterdon!B21,mercer!B21,middlesex!B21,monmouth!B21,morris!B21,ocean!B21,passaic!B21,salem!B21,somerset!B21,sussex!B21,union!B21,warren!B21)</f>
        <v>1.3708</v>
      </c>
      <c r="F21" s="77">
        <f>CHOOSE('Calculation&amp;Summary'!$Q$35,atlantic!C21,bergen!C21,burlington!C21,camden!C21,capemay!C21,cumberland!C21,essex!C21,gloucester!C21,hudson!C21,hunterdon!C21,mercer!C21,middlesex!C21,monmouth!C21,morris!C21,ocean!C21,passaic!C21,salem!C21,somerset!C21,sussex!C21,union!C21,warren!C21)</f>
        <v>0.1242</v>
      </c>
      <c r="G21" s="77">
        <f>CHOOSE('Calculation&amp;Summary'!$Q$35,atlantic!D21,bergen!D21,burlington!D21,camden!D21,capemay!D21,cumberland!D21,essex!D21,gloucester!D21,hudson!D21,hunterdon!D21,mercer!D21,middlesex!D21,monmouth!D21,morris!D21,ocean!D21,passaic!D21,salem!D21,somerset!D21,sussex!D21,union!D21,warren!D21)</f>
        <v>2.8694000000000002</v>
      </c>
      <c r="H21" s="77">
        <f>CHOOSE('Calculation&amp;Summary'!$Q$35,atlantic!E21,bergen!E21,burlington!E21,camden!E21,capemay!E21,cumberland!E21,essex!E21,gloucester!E21,hudson!E21,hunterdon!E21,mercer!E21,middlesex!E21,monmouth!E21,morris!E21,ocean!E21,passaic!E21,salem!E21,somerset!E21,sussex!E21,union!E21,warren!E21)</f>
        <v>0.53690000000000004</v>
      </c>
      <c r="I21" s="77">
        <f>CHOOSE('Calculation&amp;Summary'!$Q$35,atlantic!F21,bergen!F21,burlington!F21,camden!F21,capemay!F21,cumberland!F21,essex!F21,gloucester!F21,hudson!F21,hunterdon!F21,mercer!F21,middlesex!F21,monmouth!F21,morris!F21,ocean!F21,passaic!F21,salem!F21,somerset!F21,sussex!F21,union!F21,warren!F21)</f>
        <v>2.0407999999999999</v>
      </c>
      <c r="J21" s="77">
        <f>CHOOSE('Calculation&amp;Summary'!$Q$35,atlantic!G21,bergen!G21,burlington!G21,camden!G21,capemay!G21,cumberland!G21,essex!G21,gloucester!G21,hudson!G21,hunterdon!G21,mercer!G21,middlesex!G21,monmouth!G21,morris!G21,ocean!G21,passaic!G21,salem!G21,somerset!G21,sussex!G21,union!G21,warren!G21)</f>
        <v>1.9068000000000001</v>
      </c>
      <c r="K21" s="65">
        <f t="shared" si="7"/>
        <v>286.94</v>
      </c>
      <c r="L21" s="65">
        <f t="shared" si="8"/>
        <v>150.48248374239563</v>
      </c>
      <c r="M21" s="147">
        <f t="shared" si="9"/>
        <v>12.42</v>
      </c>
      <c r="N21" s="237">
        <f t="shared" si="10"/>
        <v>6.0858486867894941</v>
      </c>
      <c r="O21" s="236">
        <f t="shared" si="11"/>
        <v>40442.239757336756</v>
      </c>
      <c r="P21" s="90" t="s">
        <v>1231</v>
      </c>
      <c r="Q21" s="83">
        <f>VLOOKUP(Q$6,$C$2:$J$63,3,FALSE)</f>
        <v>1.5029999999999999</v>
      </c>
      <c r="R21" s="160" t="s">
        <v>1255</v>
      </c>
      <c r="S21" s="83">
        <f>VLOOKUP(S$6,$C$2:$J$63,3,FALSE)</f>
        <v>1.5029999999999999</v>
      </c>
      <c r="T21" s="160" t="s">
        <v>1255</v>
      </c>
      <c r="U21" s="83">
        <f>VLOOKUP(U$6,$C$2:$J$63,3,FALSE)</f>
        <v>1.5029999999999999</v>
      </c>
      <c r="V21" s="160" t="s">
        <v>1255</v>
      </c>
      <c r="W21" s="109">
        <f>(Q21*Q$10+S21*S$10+U21*U$10)/W$10</f>
        <v>1.5030000000000001</v>
      </c>
      <c r="Z21" s="91"/>
      <c r="AC21" s="131"/>
      <c r="AD21" s="129">
        <f t="shared" si="21"/>
        <v>2025</v>
      </c>
      <c r="AE21" s="420">
        <f>Assumptions!E47</f>
        <v>0</v>
      </c>
      <c r="AF21" s="421">
        <f>Assumptions!F47</f>
        <v>0</v>
      </c>
      <c r="AG21" s="143">
        <f t="shared" si="19"/>
        <v>0</v>
      </c>
      <c r="AH21" s="420">
        <f>Assumptions!G47</f>
        <v>0</v>
      </c>
      <c r="AI21" s="421">
        <f>Assumptions!H47</f>
        <v>0</v>
      </c>
      <c r="AJ21" s="143">
        <f t="shared" si="15"/>
        <v>0</v>
      </c>
      <c r="AK21" s="176"/>
      <c r="AL21" s="129">
        <f t="shared" si="22"/>
        <v>2025</v>
      </c>
      <c r="AM21" s="420">
        <f>Assumptions!J47</f>
        <v>0</v>
      </c>
      <c r="AN21" s="421">
        <f>Assumptions!K47</f>
        <v>0</v>
      </c>
      <c r="AO21" s="143">
        <f t="shared" si="16"/>
        <v>0</v>
      </c>
      <c r="AP21" s="420">
        <f>Assumptions!L47</f>
        <v>0</v>
      </c>
      <c r="AQ21" s="421">
        <f>Assumptions!M47</f>
        <v>0</v>
      </c>
      <c r="AR21" s="143">
        <f t="shared" si="17"/>
        <v>0</v>
      </c>
      <c r="AS21" s="176"/>
      <c r="AT21" s="166">
        <f t="shared" si="23"/>
        <v>2025</v>
      </c>
      <c r="AU21" s="420">
        <f>Assumptions!O47</f>
        <v>0</v>
      </c>
      <c r="AV21" s="421">
        <f>Assumptions!P47</f>
        <v>0</v>
      </c>
      <c r="AW21" s="143">
        <f t="shared" si="20"/>
        <v>0</v>
      </c>
      <c r="AX21" s="420">
        <f>Assumptions!Q47</f>
        <v>0</v>
      </c>
      <c r="AY21" s="421">
        <f>Assumptions!R47</f>
        <v>0</v>
      </c>
      <c r="AZ21" s="143">
        <f t="shared" si="24"/>
        <v>0</v>
      </c>
      <c r="BA21" s="176"/>
      <c r="BC21" s="185"/>
      <c r="BD21" s="187"/>
      <c r="BE21" s="185"/>
      <c r="BF21" s="190"/>
      <c r="BG21" s="186"/>
      <c r="BH21" s="70"/>
      <c r="BJ21" s="71"/>
      <c r="BK21" s="24"/>
      <c r="BM21" s="71"/>
      <c r="BQ21" s="70"/>
      <c r="BS21" s="71"/>
      <c r="BT21" s="24"/>
      <c r="BV21" s="71"/>
      <c r="BZ21" s="70"/>
      <c r="CB21" s="71"/>
      <c r="CC21" s="24"/>
      <c r="CE21" s="71"/>
      <c r="CI21" s="70"/>
      <c r="CK21" s="71"/>
      <c r="CL21" s="24"/>
      <c r="CN21" s="71"/>
      <c r="CR21" s="70"/>
      <c r="CT21" s="71"/>
      <c r="CU21" s="24"/>
      <c r="CW21" s="71"/>
      <c r="DA21" s="70"/>
      <c r="DC21" s="71"/>
      <c r="DD21" s="24"/>
      <c r="DF21" s="71"/>
    </row>
    <row r="22" spans="1:110">
      <c r="A22" s="64" t="str">
        <f t="shared" si="5"/>
        <v>21. Apparel, leather, and allied product manufacturing</v>
      </c>
      <c r="B22" s="64">
        <f t="shared" si="6"/>
        <v>21</v>
      </c>
      <c r="C22" s="64">
        <f t="shared" si="12"/>
        <v>21</v>
      </c>
      <c r="D22" s="181" t="s">
        <v>1622</v>
      </c>
      <c r="E22" s="77">
        <f>CHOOSE('Calculation&amp;Summary'!$Q$35,atlantic!B22,bergen!B22,burlington!B22,camden!B22,capemay!B22,cumberland!B22,essex!B22,gloucester!B22,hudson!B22,hunterdon!B22,mercer!B22,middlesex!B22,monmouth!B22,morris!B22,ocean!B22,passaic!B22,salem!B22,somerset!B22,sussex!B22,union!B22,warren!B22)</f>
        <v>1.6565000000000001</v>
      </c>
      <c r="F22" s="77">
        <f>CHOOSE('Calculation&amp;Summary'!$Q$35,atlantic!C22,bergen!C22,burlington!C22,camden!C22,capemay!C22,cumberland!C22,essex!C22,gloucester!C22,hudson!C22,hunterdon!C22,mercer!C22,middlesex!C22,monmouth!C22,morris!C22,ocean!C22,passaic!C22,salem!C22,somerset!C22,sussex!C22,union!C22,warren!C22)</f>
        <v>0.54959999999999998</v>
      </c>
      <c r="G22" s="77">
        <f>CHOOSE('Calculation&amp;Summary'!$Q$35,atlantic!D22,bergen!D22,burlington!D22,camden!D22,capemay!D22,cumberland!D22,essex!D22,gloucester!D22,hudson!D22,hunterdon!D22,mercer!D22,middlesex!D22,monmouth!D22,morris!D22,ocean!D22,passaic!D22,salem!D22,somerset!D22,sussex!D22,union!D22,warren!D22)</f>
        <v>15.058299999999999</v>
      </c>
      <c r="H22" s="77">
        <f>CHOOSE('Calculation&amp;Summary'!$Q$35,atlantic!E22,bergen!E22,burlington!E22,camden!E22,capemay!E22,cumberland!E22,essex!E22,gloucester!E22,hudson!E22,hunterdon!E22,mercer!E22,middlesex!E22,monmouth!E22,morris!E22,ocean!E22,passaic!E22,salem!E22,somerset!E22,sussex!E22,union!E22,warren!E22)</f>
        <v>1.0566</v>
      </c>
      <c r="I22" s="77">
        <f>CHOOSE('Calculation&amp;Summary'!$Q$35,atlantic!F22,bergen!F22,burlington!F22,camden!F22,capemay!F22,cumberland!F22,essex!F22,gloucester!F22,hudson!F22,hunterdon!F22,mercer!F22,middlesex!F22,monmouth!F22,morris!F22,ocean!F22,passaic!F22,salem!F22,somerset!F22,sussex!F22,union!F22,warren!F22)</f>
        <v>1.3280000000000001</v>
      </c>
      <c r="J22" s="77">
        <f>CHOOSE('Calculation&amp;Summary'!$Q$35,atlantic!G22,bergen!G22,burlington!G22,camden!G22,capemay!G22,cumberland!G22,essex!G22,gloucester!G22,hudson!G22,hunterdon!G22,mercer!G22,middlesex!G22,monmouth!G22,morris!G22,ocean!G22,passaic!G22,salem!G22,somerset!G22,sussex!G22,union!G22,warren!G22)</f>
        <v>1.3078000000000001</v>
      </c>
      <c r="K22" s="65">
        <f t="shared" si="7"/>
        <v>1505.83</v>
      </c>
      <c r="L22" s="65">
        <f t="shared" si="8"/>
        <v>1151.4222358158738</v>
      </c>
      <c r="M22" s="147">
        <f t="shared" si="9"/>
        <v>54.96</v>
      </c>
      <c r="N22" s="237">
        <f t="shared" si="10"/>
        <v>41.385542168674696</v>
      </c>
      <c r="O22" s="236">
        <f t="shared" si="11"/>
        <v>35942.976330789512</v>
      </c>
      <c r="P22" s="90" t="s">
        <v>1226</v>
      </c>
      <c r="Q22" s="547">
        <f>Q20*Q21</f>
        <v>130618835.20900322</v>
      </c>
      <c r="R22" s="200" t="s">
        <v>1260</v>
      </c>
      <c r="S22" s="547">
        <f>S20*S21</f>
        <v>0</v>
      </c>
      <c r="T22" s="200" t="s">
        <v>1260</v>
      </c>
      <c r="U22" s="547">
        <f>U20*U21</f>
        <v>0</v>
      </c>
      <c r="V22" s="160" t="s">
        <v>1260</v>
      </c>
      <c r="W22" s="201">
        <f>SUM(U22,S22,Q22)</f>
        <v>130618835.20900322</v>
      </c>
      <c r="Z22" s="91"/>
      <c r="AC22" s="131"/>
      <c r="AD22" s="129">
        <f t="shared" si="21"/>
        <v>2026</v>
      </c>
      <c r="AE22" s="420">
        <f>Assumptions!E48</f>
        <v>0</v>
      </c>
      <c r="AF22" s="421">
        <f>Assumptions!F48</f>
        <v>0</v>
      </c>
      <c r="AG22" s="143">
        <f t="shared" si="19"/>
        <v>0</v>
      </c>
      <c r="AH22" s="420">
        <f>Assumptions!G48</f>
        <v>0</v>
      </c>
      <c r="AI22" s="421">
        <f>Assumptions!H48</f>
        <v>0</v>
      </c>
      <c r="AJ22" s="143">
        <f t="shared" si="15"/>
        <v>0</v>
      </c>
      <c r="AK22" s="176"/>
      <c r="AL22" s="129">
        <f t="shared" si="22"/>
        <v>2026</v>
      </c>
      <c r="AM22" s="420">
        <f>Assumptions!J48</f>
        <v>0</v>
      </c>
      <c r="AN22" s="421">
        <f>Assumptions!K48</f>
        <v>0</v>
      </c>
      <c r="AO22" s="143">
        <f t="shared" si="16"/>
        <v>0</v>
      </c>
      <c r="AP22" s="420">
        <f>Assumptions!L48</f>
        <v>0</v>
      </c>
      <c r="AQ22" s="421">
        <f>Assumptions!M48</f>
        <v>0</v>
      </c>
      <c r="AR22" s="143">
        <f t="shared" si="17"/>
        <v>0</v>
      </c>
      <c r="AS22" s="176"/>
      <c r="AT22" s="166">
        <f t="shared" si="23"/>
        <v>2026</v>
      </c>
      <c r="AU22" s="420">
        <f>Assumptions!O48</f>
        <v>0</v>
      </c>
      <c r="AV22" s="421">
        <f>Assumptions!P48</f>
        <v>0</v>
      </c>
      <c r="AW22" s="143">
        <f t="shared" si="20"/>
        <v>0</v>
      </c>
      <c r="AX22" s="420">
        <f>Assumptions!Q48</f>
        <v>0</v>
      </c>
      <c r="AY22" s="421">
        <f>Assumptions!R48</f>
        <v>0</v>
      </c>
      <c r="AZ22" s="143">
        <f t="shared" si="24"/>
        <v>0</v>
      </c>
      <c r="BA22" s="176"/>
      <c r="BC22" s="185"/>
      <c r="BD22" s="187"/>
      <c r="BE22" s="185"/>
      <c r="BF22" s="190"/>
      <c r="BG22" s="186"/>
      <c r="BJ22" s="71"/>
      <c r="BS22" s="71"/>
      <c r="CB22" s="71"/>
      <c r="CK22" s="71"/>
      <c r="CT22" s="71"/>
      <c r="DC22" s="71"/>
    </row>
    <row r="23" spans="1:110">
      <c r="A23" s="64" t="str">
        <f t="shared" si="5"/>
        <v>22. Paper manufacturing</v>
      </c>
      <c r="B23" s="64">
        <f t="shared" si="6"/>
        <v>22</v>
      </c>
      <c r="C23" s="64">
        <f t="shared" si="12"/>
        <v>22</v>
      </c>
      <c r="D23" s="181" t="s">
        <v>1623</v>
      </c>
      <c r="E23" s="77">
        <f>CHOOSE('Calculation&amp;Summary'!$Q$35,atlantic!B23,bergen!B23,burlington!B23,camden!B23,capemay!B23,cumberland!B23,essex!B23,gloucester!B23,hudson!B23,hunterdon!B23,mercer!B23,middlesex!B23,monmouth!B23,morris!B23,ocean!B23,passaic!B23,salem!B23,somerset!B23,sussex!B23,union!B23,warren!B23)</f>
        <v>1.4494</v>
      </c>
      <c r="F23" s="77">
        <f>CHOOSE('Calculation&amp;Summary'!$Q$35,atlantic!C23,bergen!C23,burlington!C23,camden!C23,capemay!C23,cumberland!C23,essex!C23,gloucester!C23,hudson!C23,hunterdon!C23,mercer!C23,middlesex!C23,monmouth!C23,morris!C23,ocean!C23,passaic!C23,salem!C23,somerset!C23,sussex!C23,union!C23,warren!C23)</f>
        <v>0.18729999999999999</v>
      </c>
      <c r="G23" s="77">
        <f>CHOOSE('Calculation&amp;Summary'!$Q$35,atlantic!D23,bergen!D23,burlington!D23,camden!D23,capemay!D23,cumberland!D23,essex!D23,gloucester!D23,hudson!D23,hunterdon!D23,mercer!D23,middlesex!D23,monmouth!D23,morris!D23,ocean!D23,passaic!D23,salem!D23,somerset!D23,sussex!D23,union!D23,warren!D23)</f>
        <v>3.4350999999999998</v>
      </c>
      <c r="H23" s="77">
        <f>CHOOSE('Calculation&amp;Summary'!$Q$35,atlantic!E23,bergen!E23,burlington!E23,camden!E23,capemay!E23,cumberland!E23,essex!E23,gloucester!E23,hudson!E23,hunterdon!E23,mercer!E23,middlesex!E23,monmouth!E23,morris!E23,ocean!E23,passaic!E23,salem!E23,somerset!E23,sussex!E23,union!E23,warren!E23)</f>
        <v>0.60070000000000001</v>
      </c>
      <c r="I23" s="77">
        <f>CHOOSE('Calculation&amp;Summary'!$Q$35,atlantic!F23,bergen!F23,burlington!F23,camden!F23,capemay!F23,cumberland!F23,essex!F23,gloucester!F23,hudson!F23,hunterdon!F23,mercer!F23,middlesex!F23,monmouth!F23,morris!F23,ocean!F23,passaic!F23,salem!F23,somerset!F23,sussex!F23,union!F23,warren!F23)</f>
        <v>1.7030000000000001</v>
      </c>
      <c r="J23" s="77">
        <f>CHOOSE('Calculation&amp;Summary'!$Q$35,atlantic!G23,bergen!G23,burlington!G23,camden!G23,capemay!G23,cumberland!G23,essex!G23,gloucester!G23,hudson!G23,hunterdon!G23,mercer!G23,middlesex!G23,monmouth!G23,morris!G23,ocean!G23,passaic!G23,salem!G23,somerset!G23,sussex!G23,union!G23,warren!G23)</f>
        <v>1.9388000000000001</v>
      </c>
      <c r="K23" s="65">
        <f t="shared" si="7"/>
        <v>343.51</v>
      </c>
      <c r="L23" s="65">
        <f t="shared" si="8"/>
        <v>177.17660408500103</v>
      </c>
      <c r="M23" s="147">
        <f t="shared" si="9"/>
        <v>18.73</v>
      </c>
      <c r="N23" s="237">
        <f t="shared" si="10"/>
        <v>10.998238402818556</v>
      </c>
      <c r="O23" s="236">
        <f t="shared" si="11"/>
        <v>62075.003974803112</v>
      </c>
      <c r="P23" s="90" t="s">
        <v>1224</v>
      </c>
      <c r="Q23" s="547">
        <f>Q22-Q20</f>
        <v>43713422.561629146</v>
      </c>
      <c r="R23" s="200" t="s">
        <v>1254</v>
      </c>
      <c r="S23" s="547">
        <f>S22-S20</f>
        <v>0</v>
      </c>
      <c r="T23" s="200" t="s">
        <v>1254</v>
      </c>
      <c r="U23" s="547">
        <f>U22-U20</f>
        <v>0</v>
      </c>
      <c r="V23" s="160" t="s">
        <v>1254</v>
      </c>
      <c r="W23" s="201">
        <f>SUM(U23,S23,Q23)</f>
        <v>43713422.561629146</v>
      </c>
      <c r="Z23" s="91"/>
      <c r="AC23" s="131"/>
      <c r="AD23" s="129">
        <f t="shared" si="21"/>
        <v>2027</v>
      </c>
      <c r="AE23" s="420">
        <f>Assumptions!E49</f>
        <v>0</v>
      </c>
      <c r="AF23" s="421">
        <f>Assumptions!F49</f>
        <v>0</v>
      </c>
      <c r="AG23" s="143">
        <f t="shared" si="19"/>
        <v>0</v>
      </c>
      <c r="AH23" s="420">
        <f>Assumptions!G49</f>
        <v>0</v>
      </c>
      <c r="AI23" s="421">
        <f>Assumptions!H49</f>
        <v>0</v>
      </c>
      <c r="AJ23" s="143">
        <f t="shared" si="15"/>
        <v>0</v>
      </c>
      <c r="AK23" s="176"/>
      <c r="AL23" s="129">
        <f t="shared" si="22"/>
        <v>2027</v>
      </c>
      <c r="AM23" s="420">
        <f>Assumptions!J49</f>
        <v>0</v>
      </c>
      <c r="AN23" s="421">
        <f>Assumptions!K49</f>
        <v>0</v>
      </c>
      <c r="AO23" s="143">
        <f t="shared" si="16"/>
        <v>0</v>
      </c>
      <c r="AP23" s="420">
        <f>Assumptions!L49</f>
        <v>0</v>
      </c>
      <c r="AQ23" s="421">
        <f>Assumptions!M49</f>
        <v>0</v>
      </c>
      <c r="AR23" s="143">
        <f t="shared" si="17"/>
        <v>0</v>
      </c>
      <c r="AS23" s="176"/>
      <c r="AT23" s="166">
        <f t="shared" si="23"/>
        <v>2027</v>
      </c>
      <c r="AU23" s="420">
        <f>Assumptions!O49</f>
        <v>0</v>
      </c>
      <c r="AV23" s="421">
        <f>Assumptions!P49</f>
        <v>0</v>
      </c>
      <c r="AW23" s="143">
        <f t="shared" si="20"/>
        <v>0</v>
      </c>
      <c r="AX23" s="420">
        <f>Assumptions!Q49</f>
        <v>0</v>
      </c>
      <c r="AY23" s="421">
        <f>Assumptions!R49</f>
        <v>0</v>
      </c>
      <c r="AZ23" s="143">
        <f t="shared" si="24"/>
        <v>0</v>
      </c>
      <c r="BA23" s="176"/>
      <c r="BC23" s="185"/>
      <c r="BD23" s="187"/>
      <c r="BE23" s="185"/>
      <c r="BF23" s="190"/>
      <c r="BG23" s="186"/>
      <c r="BJ23" s="71"/>
      <c r="BM23" s="71"/>
      <c r="BS23" s="71"/>
      <c r="BV23" s="71"/>
      <c r="CB23" s="71"/>
      <c r="CE23" s="71"/>
      <c r="CK23" s="71"/>
      <c r="CN23" s="71"/>
      <c r="CT23" s="71"/>
      <c r="CW23" s="71"/>
      <c r="DC23" s="71"/>
      <c r="DF23" s="71"/>
    </row>
    <row r="24" spans="1:110">
      <c r="A24" s="64" t="str">
        <f t="shared" si="5"/>
        <v>23. Printing and related support activities</v>
      </c>
      <c r="B24" s="64">
        <f t="shared" si="6"/>
        <v>23</v>
      </c>
      <c r="C24" s="64">
        <f t="shared" si="12"/>
        <v>23</v>
      </c>
      <c r="D24" s="181" t="s">
        <v>1624</v>
      </c>
      <c r="E24" s="77">
        <f>CHOOSE('Calculation&amp;Summary'!$Q$35,atlantic!B24,bergen!B24,burlington!B24,camden!B24,capemay!B24,cumberland!B24,essex!B24,gloucester!B24,hudson!B24,hunterdon!B24,mercer!B24,middlesex!B24,monmouth!B24,morris!B24,ocean!B24,passaic!B24,salem!B24,somerset!B24,sussex!B24,union!B24,warren!B24)</f>
        <v>1.6148</v>
      </c>
      <c r="F24" s="77">
        <f>CHOOSE('Calculation&amp;Summary'!$Q$35,atlantic!C24,bergen!C24,burlington!C24,camden!C24,capemay!C24,cumberland!C24,essex!C24,gloucester!C24,hudson!C24,hunterdon!C24,mercer!C24,middlesex!C24,monmouth!C24,morris!C24,ocean!C24,passaic!C24,salem!C24,somerset!C24,sussex!C24,union!C24,warren!C24)</f>
        <v>0.2452</v>
      </c>
      <c r="G24" s="77">
        <f>CHOOSE('Calculation&amp;Summary'!$Q$35,atlantic!D24,bergen!D24,burlington!D24,camden!D24,capemay!D24,cumberland!D24,essex!D24,gloucester!D24,hudson!D24,hunterdon!D24,mercer!D24,middlesex!D24,monmouth!D24,morris!D24,ocean!D24,passaic!D24,salem!D24,somerset!D24,sussex!D24,union!D24,warren!D24)</f>
        <v>5.4554999999999998</v>
      </c>
      <c r="H24" s="77">
        <f>CHOOSE('Calculation&amp;Summary'!$Q$35,atlantic!E24,bergen!E24,burlington!E24,camden!E24,capemay!E24,cumberland!E24,essex!E24,gloucester!E24,hudson!E24,hunterdon!E24,mercer!E24,middlesex!E24,monmouth!E24,morris!E24,ocean!E24,passaic!E24,salem!E24,somerset!E24,sussex!E24,union!E24,warren!E24)</f>
        <v>0.72640000000000005</v>
      </c>
      <c r="I24" s="77">
        <f>CHOOSE('Calculation&amp;Summary'!$Q$35,atlantic!F24,bergen!F24,burlington!F24,camden!F24,capemay!F24,cumberland!F24,essex!F24,gloucester!F24,hudson!F24,hunterdon!F24,mercer!F24,middlesex!F24,monmouth!F24,morris!F24,ocean!F24,passaic!F24,salem!F24,somerset!F24,sussex!F24,union!F24,warren!F24)</f>
        <v>1.8018000000000001</v>
      </c>
      <c r="J24" s="77">
        <f>CHOOSE('Calculation&amp;Summary'!$Q$35,atlantic!G24,bergen!G24,burlington!G24,camden!G24,capemay!G24,cumberland!G24,essex!G24,gloucester!G24,hudson!G24,hunterdon!G24,mercer!G24,middlesex!G24,monmouth!G24,morris!G24,ocean!G24,passaic!G24,salem!G24,somerset!G24,sussex!G24,union!G24,warren!G24)</f>
        <v>1.8338000000000001</v>
      </c>
      <c r="K24" s="65">
        <f t="shared" si="7"/>
        <v>545.54999999999995</v>
      </c>
      <c r="L24" s="65">
        <f t="shared" si="8"/>
        <v>297.49700076344197</v>
      </c>
      <c r="M24" s="147">
        <f t="shared" si="9"/>
        <v>24.52</v>
      </c>
      <c r="N24" s="237">
        <f t="shared" si="10"/>
        <v>13.608613608613608</v>
      </c>
      <c r="O24" s="236">
        <f t="shared" si="11"/>
        <v>45743.700184173103</v>
      </c>
      <c r="P24" s="92"/>
      <c r="R24" s="160"/>
      <c r="T24" s="160"/>
      <c r="V24" s="160"/>
      <c r="W24" s="106"/>
      <c r="Z24" s="91"/>
      <c r="AC24" s="94"/>
      <c r="AD24" s="129">
        <f t="shared" si="21"/>
        <v>2028</v>
      </c>
      <c r="AE24" s="420">
        <f>Assumptions!E50</f>
        <v>0</v>
      </c>
      <c r="AF24" s="421">
        <f>Assumptions!F50</f>
        <v>0</v>
      </c>
      <c r="AG24" s="143">
        <f t="shared" si="19"/>
        <v>0</v>
      </c>
      <c r="AH24" s="420">
        <f>Assumptions!G50</f>
        <v>0</v>
      </c>
      <c r="AI24" s="421">
        <f>Assumptions!H50</f>
        <v>0</v>
      </c>
      <c r="AJ24" s="143">
        <f t="shared" si="15"/>
        <v>0</v>
      </c>
      <c r="AK24" s="176"/>
      <c r="AL24" s="129">
        <f t="shared" si="22"/>
        <v>2028</v>
      </c>
      <c r="AM24" s="420">
        <f>Assumptions!J50</f>
        <v>0</v>
      </c>
      <c r="AN24" s="421">
        <f>Assumptions!K50</f>
        <v>0</v>
      </c>
      <c r="AO24" s="143">
        <f t="shared" si="16"/>
        <v>0</v>
      </c>
      <c r="AP24" s="420">
        <f>Assumptions!L50</f>
        <v>0</v>
      </c>
      <c r="AQ24" s="421">
        <f>Assumptions!M50</f>
        <v>0</v>
      </c>
      <c r="AR24" s="143">
        <f t="shared" si="17"/>
        <v>0</v>
      </c>
      <c r="AS24" s="176"/>
      <c r="AT24" s="166">
        <f t="shared" si="23"/>
        <v>2028</v>
      </c>
      <c r="AU24" s="420">
        <f>Assumptions!O50</f>
        <v>0</v>
      </c>
      <c r="AV24" s="421">
        <f>Assumptions!P50</f>
        <v>0</v>
      </c>
      <c r="AW24" s="143">
        <f t="shared" si="20"/>
        <v>0</v>
      </c>
      <c r="AX24" s="420">
        <f>Assumptions!Q50</f>
        <v>0</v>
      </c>
      <c r="AY24" s="421">
        <f>Assumptions!R50</f>
        <v>0</v>
      </c>
      <c r="AZ24" s="143">
        <f t="shared" si="24"/>
        <v>0</v>
      </c>
      <c r="BA24" s="176"/>
      <c r="BC24" s="185"/>
      <c r="BD24" s="187"/>
      <c r="BE24" s="185"/>
      <c r="BF24" s="190"/>
      <c r="BG24" s="186"/>
      <c r="BJ24" s="71"/>
      <c r="BS24" s="71"/>
      <c r="CB24" s="71"/>
      <c r="CK24" s="71"/>
      <c r="CT24" s="71"/>
      <c r="DC24" s="71"/>
    </row>
    <row r="25" spans="1:110">
      <c r="A25" s="64" t="str">
        <f t="shared" si="5"/>
        <v>24. Petroleum and coal products manufacturing</v>
      </c>
      <c r="B25" s="64">
        <f t="shared" si="6"/>
        <v>24</v>
      </c>
      <c r="C25" s="64">
        <f t="shared" si="12"/>
        <v>24</v>
      </c>
      <c r="D25" s="181" t="s">
        <v>1625</v>
      </c>
      <c r="E25" s="77">
        <f>CHOOSE('Calculation&amp;Summary'!$Q$35,atlantic!B25,bergen!B25,burlington!B25,camden!B25,capemay!B25,cumberland!B25,essex!B25,gloucester!B25,hudson!B25,hunterdon!B25,mercer!B25,middlesex!B25,monmouth!B25,morris!B25,ocean!B25,passaic!B25,salem!B25,somerset!B25,sussex!B25,union!B25,warren!B25)</f>
        <v>1.1087</v>
      </c>
      <c r="F25" s="77">
        <f>CHOOSE('Calculation&amp;Summary'!$Q$35,atlantic!C25,bergen!C25,burlington!C25,camden!C25,capemay!C25,cumberland!C25,essex!C25,gloucester!C25,hudson!C25,hunterdon!C25,mercer!C25,middlesex!C25,monmouth!C25,morris!C25,ocean!C25,passaic!C25,salem!C25,somerset!C25,sussex!C25,union!C25,warren!C25)</f>
        <v>4.4400000000000002E-2</v>
      </c>
      <c r="G25" s="77">
        <f>CHOOSE('Calculation&amp;Summary'!$Q$35,atlantic!D25,bergen!D25,burlington!D25,camden!D25,capemay!D25,cumberland!D25,essex!D25,gloucester!D25,hudson!D25,hunterdon!D25,mercer!D25,middlesex!D25,monmouth!D25,morris!D25,ocean!D25,passaic!D25,salem!D25,somerset!D25,sussex!D25,union!D25,warren!D25)</f>
        <v>0.61870000000000003</v>
      </c>
      <c r="H25" s="77">
        <f>CHOOSE('Calculation&amp;Summary'!$Q$35,atlantic!E25,bergen!E25,burlington!E25,camden!E25,capemay!E25,cumberland!E25,essex!E25,gloucester!E25,hudson!E25,hunterdon!E25,mercer!E25,middlesex!E25,monmouth!E25,morris!E25,ocean!E25,passaic!E25,salem!E25,somerset!E25,sussex!E25,union!E25,warren!E25)</f>
        <v>0.33119999999999999</v>
      </c>
      <c r="I25" s="77">
        <f>CHOOSE('Calculation&amp;Summary'!$Q$35,atlantic!F25,bergen!F25,burlington!F25,camden!F25,capemay!F25,cumberland!F25,essex!F25,gloucester!F25,hudson!F25,hunterdon!F25,mercer!F25,middlesex!F25,monmouth!F25,morris!F25,ocean!F25,passaic!F25,salem!F25,somerset!F25,sussex!F25,union!F25,warren!F25)</f>
        <v>1.6782999999999999</v>
      </c>
      <c r="J25" s="77">
        <f>CHOOSE('Calculation&amp;Summary'!$Q$35,atlantic!G25,bergen!G25,burlington!G25,camden!G25,capemay!G25,cumberland!G25,essex!G25,gloucester!G25,hudson!G25,hunterdon!G25,mercer!G25,middlesex!G25,monmouth!G25,morris!G25,ocean!G25,passaic!G25,salem!G25,somerset!G25,sussex!G25,union!G25,warren!G25)</f>
        <v>2.5329999999999999</v>
      </c>
      <c r="K25" s="65">
        <f t="shared" si="7"/>
        <v>61.870000000000005</v>
      </c>
      <c r="L25" s="65">
        <f t="shared" si="8"/>
        <v>24.4255823134623</v>
      </c>
      <c r="M25" s="147">
        <f t="shared" si="9"/>
        <v>4.4400000000000004</v>
      </c>
      <c r="N25" s="237">
        <f t="shared" si="10"/>
        <v>2.6455341714830487</v>
      </c>
      <c r="O25" s="236">
        <f t="shared" si="11"/>
        <v>108309.97343408053</v>
      </c>
      <c r="P25" s="90" t="s">
        <v>1235</v>
      </c>
      <c r="Q25" s="83">
        <f>VLOOKUP(Q$6,$C$2:$J$63,4,FALSE)</f>
        <v>0.37319999999999998</v>
      </c>
      <c r="R25" s="160" t="s">
        <v>1253</v>
      </c>
      <c r="S25" s="83">
        <f>VLOOKUP(S$6,$C$2:$J$63,4,FALSE)</f>
        <v>0.37319999999999998</v>
      </c>
      <c r="T25" s="160" t="s">
        <v>1253</v>
      </c>
      <c r="U25" s="83">
        <f>VLOOKUP(U$6,$C$2:$J$63,4,FALSE)</f>
        <v>0.37319999999999998</v>
      </c>
      <c r="V25" s="160" t="s">
        <v>1253</v>
      </c>
      <c r="W25" s="109">
        <f>(Q25*Q$10+S25*S$10+U25*U$10)/W$10</f>
        <v>0.37319999999999998</v>
      </c>
      <c r="Z25" s="91"/>
      <c r="AC25" s="94"/>
      <c r="AD25" s="129">
        <f t="shared" si="21"/>
        <v>2029</v>
      </c>
      <c r="AE25" s="420">
        <f>Assumptions!E51</f>
        <v>0</v>
      </c>
      <c r="AF25" s="421">
        <f>Assumptions!F51</f>
        <v>0</v>
      </c>
      <c r="AG25" s="143">
        <f t="shared" si="19"/>
        <v>0</v>
      </c>
      <c r="AH25" s="420">
        <f>Assumptions!G51</f>
        <v>0</v>
      </c>
      <c r="AI25" s="421">
        <f>Assumptions!H51</f>
        <v>0</v>
      </c>
      <c r="AJ25" s="143">
        <f t="shared" si="15"/>
        <v>0</v>
      </c>
      <c r="AK25" s="176"/>
      <c r="AL25" s="129">
        <f t="shared" si="22"/>
        <v>2029</v>
      </c>
      <c r="AM25" s="420">
        <f>Assumptions!J51</f>
        <v>0</v>
      </c>
      <c r="AN25" s="421">
        <f>Assumptions!K51</f>
        <v>0</v>
      </c>
      <c r="AO25" s="143">
        <f t="shared" si="16"/>
        <v>0</v>
      </c>
      <c r="AP25" s="420">
        <f>Assumptions!L51</f>
        <v>0</v>
      </c>
      <c r="AQ25" s="421">
        <f>Assumptions!M51</f>
        <v>0</v>
      </c>
      <c r="AR25" s="143">
        <f t="shared" si="17"/>
        <v>0</v>
      </c>
      <c r="AS25" s="176"/>
      <c r="AT25" s="166">
        <f t="shared" si="23"/>
        <v>2029</v>
      </c>
      <c r="AU25" s="420">
        <f>Assumptions!O51</f>
        <v>0</v>
      </c>
      <c r="AV25" s="421">
        <f>Assumptions!P51</f>
        <v>0</v>
      </c>
      <c r="AW25" s="143">
        <f t="shared" si="20"/>
        <v>0</v>
      </c>
      <c r="AX25" s="420">
        <f>Assumptions!Q51</f>
        <v>0</v>
      </c>
      <c r="AY25" s="421">
        <f>Assumptions!R51</f>
        <v>0</v>
      </c>
      <c r="AZ25" s="143">
        <f t="shared" si="24"/>
        <v>0</v>
      </c>
      <c r="BA25" s="176"/>
      <c r="BC25" s="185"/>
      <c r="BD25" s="187"/>
      <c r="BE25" s="185"/>
      <c r="BF25" s="190"/>
      <c r="BG25" s="186"/>
      <c r="BJ25" s="71"/>
      <c r="BS25" s="71"/>
      <c r="CB25" s="71"/>
      <c r="CK25" s="71"/>
      <c r="CT25" s="71"/>
      <c r="DC25" s="71"/>
    </row>
    <row r="26" spans="1:110">
      <c r="A26" s="64" t="str">
        <f t="shared" si="5"/>
        <v>25. Chemical manufacturing</v>
      </c>
      <c r="B26" s="64">
        <f t="shared" si="6"/>
        <v>25</v>
      </c>
      <c r="C26" s="64">
        <f t="shared" si="12"/>
        <v>25</v>
      </c>
      <c r="D26" s="181" t="s">
        <v>1626</v>
      </c>
      <c r="E26" s="77">
        <f>CHOOSE('Calculation&amp;Summary'!$Q$35,atlantic!B26,bergen!B26,burlington!B26,camden!B26,capemay!B26,cumberland!B26,essex!B26,gloucester!B26,hudson!B26,hunterdon!B26,mercer!B26,middlesex!B26,monmouth!B26,morris!B26,ocean!B26,passaic!B26,salem!B26,somerset!B26,sussex!B26,union!B26,warren!B26)</f>
        <v>1.3596999999999999</v>
      </c>
      <c r="F26" s="77">
        <f>CHOOSE('Calculation&amp;Summary'!$Q$35,atlantic!C26,bergen!C26,burlington!C26,camden!C26,capemay!C26,cumberland!C26,essex!C26,gloucester!C26,hudson!C26,hunterdon!C26,mercer!C26,middlesex!C26,monmouth!C26,morris!C26,ocean!C26,passaic!C26,salem!C26,somerset!C26,sussex!C26,union!C26,warren!C26)</f>
        <v>0.1439</v>
      </c>
      <c r="G26" s="77">
        <f>CHOOSE('Calculation&amp;Summary'!$Q$35,atlantic!D26,bergen!D26,burlington!D26,camden!D26,capemay!D26,cumberland!D26,essex!D26,gloucester!D26,hudson!D26,hunterdon!D26,mercer!D26,middlesex!D26,monmouth!D26,morris!D26,ocean!D26,passaic!D26,salem!D26,somerset!D26,sussex!D26,union!D26,warren!D26)</f>
        <v>2.0651000000000002</v>
      </c>
      <c r="H26" s="77">
        <f>CHOOSE('Calculation&amp;Summary'!$Q$35,atlantic!E26,bergen!E26,burlington!E26,camden!E26,capemay!E26,cumberland!E26,essex!E26,gloucester!E26,hudson!E26,hunterdon!E26,mercer!E26,middlesex!E26,monmouth!E26,morris!E26,ocean!E26,passaic!E26,salem!E26,somerset!E26,sussex!E26,union!E26,warren!E26)</f>
        <v>0.5675</v>
      </c>
      <c r="I26" s="77">
        <f>CHOOSE('Calculation&amp;Summary'!$Q$35,atlantic!F26,bergen!F26,burlington!F26,camden!F26,capemay!F26,cumberland!F26,essex!F26,gloucester!F26,hudson!F26,hunterdon!F26,mercer!F26,middlesex!F26,monmouth!F26,morris!F26,ocean!F26,passaic!F26,salem!F26,somerset!F26,sussex!F26,union!F26,warren!F26)</f>
        <v>1.7898000000000001</v>
      </c>
      <c r="J26" s="77">
        <f>CHOOSE('Calculation&amp;Summary'!$Q$35,atlantic!G26,bergen!G26,burlington!G26,camden!G26,capemay!G26,cumberland!G26,essex!G26,gloucester!G26,hudson!G26,hunterdon!G26,mercer!G26,middlesex!G26,monmouth!G26,morris!G26,ocean!G26,passaic!G26,salem!G26,somerset!G26,sussex!G26,union!G26,warren!G26)</f>
        <v>2.5964999999999998</v>
      </c>
      <c r="K26" s="65">
        <f t="shared" si="7"/>
        <v>206.51000000000002</v>
      </c>
      <c r="L26" s="65">
        <f t="shared" si="8"/>
        <v>79.533988060851158</v>
      </c>
      <c r="M26" s="147">
        <f t="shared" si="9"/>
        <v>14.39</v>
      </c>
      <c r="N26" s="237">
        <f t="shared" si="10"/>
        <v>8.0400044697731587</v>
      </c>
      <c r="O26" s="236">
        <f t="shared" si="11"/>
        <v>101088.91388197184</v>
      </c>
      <c r="P26" s="90" t="s">
        <v>1227</v>
      </c>
      <c r="Q26" s="547">
        <f>Q28*Q27</f>
        <v>32433100.000000004</v>
      </c>
      <c r="R26" s="200" t="s">
        <v>1252</v>
      </c>
      <c r="S26" s="31">
        <f>S28*S27</f>
        <v>0</v>
      </c>
      <c r="T26" s="200" t="s">
        <v>1252</v>
      </c>
      <c r="U26" s="31">
        <f>U28*U27</f>
        <v>0</v>
      </c>
      <c r="V26" s="160" t="s">
        <v>1252</v>
      </c>
      <c r="W26" s="201">
        <f>SUM(U26,S26,Q26)</f>
        <v>32433100.000000004</v>
      </c>
      <c r="Z26" s="91"/>
      <c r="AC26" s="94"/>
      <c r="AD26" s="129">
        <f t="shared" si="21"/>
        <v>2030</v>
      </c>
      <c r="AE26" s="420">
        <f>Assumptions!E52</f>
        <v>0</v>
      </c>
      <c r="AF26" s="421">
        <f>Assumptions!F52</f>
        <v>0</v>
      </c>
      <c r="AG26" s="143">
        <f t="shared" si="19"/>
        <v>0</v>
      </c>
      <c r="AH26" s="420">
        <f>Assumptions!G52</f>
        <v>0</v>
      </c>
      <c r="AI26" s="421">
        <f>Assumptions!H52</f>
        <v>0</v>
      </c>
      <c r="AJ26" s="143">
        <f t="shared" si="15"/>
        <v>0</v>
      </c>
      <c r="AK26" s="176"/>
      <c r="AL26" s="129">
        <f t="shared" si="22"/>
        <v>2030</v>
      </c>
      <c r="AM26" s="420">
        <f>Assumptions!J52</f>
        <v>0</v>
      </c>
      <c r="AN26" s="421">
        <f>Assumptions!K52</f>
        <v>0</v>
      </c>
      <c r="AO26" s="143">
        <f t="shared" si="16"/>
        <v>0</v>
      </c>
      <c r="AP26" s="420">
        <f>Assumptions!L52</f>
        <v>0</v>
      </c>
      <c r="AQ26" s="421">
        <f>Assumptions!M52</f>
        <v>0</v>
      </c>
      <c r="AR26" s="143">
        <f t="shared" si="17"/>
        <v>0</v>
      </c>
      <c r="AS26" s="176"/>
      <c r="AT26" s="166">
        <f t="shared" si="23"/>
        <v>2030</v>
      </c>
      <c r="AU26" s="420">
        <f>Assumptions!O52</f>
        <v>0</v>
      </c>
      <c r="AV26" s="421">
        <f>Assumptions!P52</f>
        <v>0</v>
      </c>
      <c r="AW26" s="143">
        <f t="shared" si="20"/>
        <v>0</v>
      </c>
      <c r="AX26" s="420">
        <f>Assumptions!Q52</f>
        <v>0</v>
      </c>
      <c r="AY26" s="421">
        <f>Assumptions!R52</f>
        <v>0</v>
      </c>
      <c r="AZ26" s="143">
        <f t="shared" si="24"/>
        <v>0</v>
      </c>
      <c r="BA26" s="176"/>
      <c r="BC26" s="185"/>
      <c r="BD26" s="187"/>
      <c r="BE26" s="185"/>
      <c r="BF26" s="190"/>
      <c r="BG26" s="186"/>
      <c r="BJ26" s="71"/>
      <c r="BS26" s="71"/>
      <c r="CB26" s="71"/>
      <c r="CK26" s="71"/>
      <c r="CT26" s="71"/>
      <c r="DC26" s="71"/>
    </row>
    <row r="27" spans="1:110" ht="26.4" thickBot="1">
      <c r="A27" s="64" t="str">
        <f t="shared" si="5"/>
        <v>26. Plastics and rubber products manufacturing</v>
      </c>
      <c r="B27" s="64">
        <f t="shared" si="6"/>
        <v>26</v>
      </c>
      <c r="C27" s="64">
        <f t="shared" si="12"/>
        <v>26</v>
      </c>
      <c r="D27" s="181" t="s">
        <v>1627</v>
      </c>
      <c r="E27" s="77">
        <f>CHOOSE('Calculation&amp;Summary'!$Q$35,atlantic!B27,bergen!B27,burlington!B27,camden!B27,capemay!B27,cumberland!B27,essex!B27,gloucester!B27,hudson!B27,hunterdon!B27,mercer!B27,middlesex!B27,monmouth!B27,morris!B27,ocean!B27,passaic!B27,salem!B27,somerset!B27,sussex!B27,union!B27,warren!B27)</f>
        <v>1.4550000000000001</v>
      </c>
      <c r="F27" s="77">
        <f>CHOOSE('Calculation&amp;Summary'!$Q$35,atlantic!C27,bergen!C27,burlington!C27,camden!C27,capemay!C27,cumberland!C27,essex!C27,gloucester!C27,hudson!C27,hunterdon!C27,mercer!C27,middlesex!C27,monmouth!C27,morris!C27,ocean!C27,passaic!C27,salem!C27,somerset!C27,sussex!C27,union!C27,warren!C27)</f>
        <v>0.16550000000000001</v>
      </c>
      <c r="G27" s="77">
        <f>CHOOSE('Calculation&amp;Summary'!$Q$35,atlantic!D27,bergen!D27,burlington!D27,camden!D27,capemay!D27,cumberland!D27,essex!D27,gloucester!D27,hudson!D27,hunterdon!D27,mercer!D27,middlesex!D27,monmouth!D27,morris!D27,ocean!D27,passaic!D27,salem!D27,somerset!D27,sussex!D27,union!D27,warren!D27)</f>
        <v>3.3660999999999999</v>
      </c>
      <c r="H27" s="77">
        <f>CHOOSE('Calculation&amp;Summary'!$Q$35,atlantic!E27,bergen!E27,burlington!E27,camden!E27,capemay!E27,cumberland!E27,essex!E27,gloucester!E27,hudson!E27,hunterdon!E27,mercer!E27,middlesex!E27,monmouth!E27,morris!E27,ocean!E27,passaic!E27,salem!E27,somerset!E27,sussex!E27,union!E27,warren!E27)</f>
        <v>0.63219999999999998</v>
      </c>
      <c r="I27" s="77">
        <f>CHOOSE('Calculation&amp;Summary'!$Q$35,atlantic!F27,bergen!F27,burlington!F27,camden!F27,capemay!F27,cumberland!F27,essex!F27,gloucester!F27,hudson!F27,hunterdon!F27,mercer!F27,middlesex!F27,monmouth!F27,morris!F27,ocean!F27,passaic!F27,salem!F27,somerset!F27,sussex!F27,union!F27,warren!F27)</f>
        <v>1.8268</v>
      </c>
      <c r="J27" s="77">
        <f>CHOOSE('Calculation&amp;Summary'!$Q$35,atlantic!G27,bergen!G27,burlington!G27,camden!G27,capemay!G27,cumberland!G27,essex!G27,gloucester!G27,hudson!G27,hunterdon!G27,mercer!G27,middlesex!G27,monmouth!G27,morris!G27,ocean!G27,passaic!G27,salem!G27,somerset!G27,sussex!G27,union!G27,warren!G27)</f>
        <v>1.8963000000000001</v>
      </c>
      <c r="K27" s="65">
        <f t="shared" si="7"/>
        <v>336.61</v>
      </c>
      <c r="L27" s="65">
        <f t="shared" si="8"/>
        <v>177.50883299056056</v>
      </c>
      <c r="M27" s="147">
        <f t="shared" si="9"/>
        <v>16.55</v>
      </c>
      <c r="N27" s="237">
        <f t="shared" si="10"/>
        <v>9.0595576965185032</v>
      </c>
      <c r="O27" s="236">
        <f t="shared" si="11"/>
        <v>51037.221888559572</v>
      </c>
      <c r="P27" s="90" t="s">
        <v>1236</v>
      </c>
      <c r="Q27" s="83">
        <f>VLOOKUP(Q$6,$C$2:$J$63,7,FALSE)</f>
        <v>1.3238000000000001</v>
      </c>
      <c r="R27" s="160" t="s">
        <v>1251</v>
      </c>
      <c r="S27" s="83">
        <f>VLOOKUP(S$6,$C$2:$J$63,7,FALSE)</f>
        <v>1.3238000000000001</v>
      </c>
      <c r="T27" s="160" t="s">
        <v>1251</v>
      </c>
      <c r="U27" s="83">
        <f>VLOOKUP(U$6,$C$2:$J$63,7,FALSE)</f>
        <v>1.3238000000000001</v>
      </c>
      <c r="V27" s="160" t="s">
        <v>1251</v>
      </c>
      <c r="W27" s="109">
        <f>(Q27*Q$10+S27*S$10+U27*U$10)/W$10</f>
        <v>1.3238000000000001</v>
      </c>
      <c r="Z27" s="91"/>
      <c r="AC27" s="94"/>
      <c r="AD27" s="129">
        <f t="shared" si="21"/>
        <v>2031</v>
      </c>
      <c r="AE27" s="420">
        <f>Assumptions!E53</f>
        <v>0</v>
      </c>
      <c r="AF27" s="421">
        <f>Assumptions!F53</f>
        <v>0</v>
      </c>
      <c r="AG27" s="143">
        <f t="shared" si="19"/>
        <v>0</v>
      </c>
      <c r="AH27" s="420">
        <f>Assumptions!G53</f>
        <v>0</v>
      </c>
      <c r="AI27" s="421">
        <f>Assumptions!H53</f>
        <v>0</v>
      </c>
      <c r="AJ27" s="143">
        <f t="shared" si="15"/>
        <v>0</v>
      </c>
      <c r="AK27" s="176"/>
      <c r="AL27" s="129">
        <f t="shared" si="22"/>
        <v>2031</v>
      </c>
      <c r="AM27" s="420">
        <f>Assumptions!J53</f>
        <v>0</v>
      </c>
      <c r="AN27" s="421">
        <f>Assumptions!K53</f>
        <v>0</v>
      </c>
      <c r="AO27" s="143">
        <f t="shared" si="16"/>
        <v>0</v>
      </c>
      <c r="AP27" s="420">
        <f>Assumptions!L53</f>
        <v>0</v>
      </c>
      <c r="AQ27" s="421">
        <f>Assumptions!M53</f>
        <v>0</v>
      </c>
      <c r="AR27" s="143">
        <f t="shared" si="17"/>
        <v>0</v>
      </c>
      <c r="AS27" s="176"/>
      <c r="AT27" s="166">
        <f t="shared" si="23"/>
        <v>2031</v>
      </c>
      <c r="AU27" s="420">
        <f>Assumptions!O53</f>
        <v>0</v>
      </c>
      <c r="AV27" s="421">
        <f>Assumptions!P53</f>
        <v>0</v>
      </c>
      <c r="AW27" s="143">
        <f t="shared" si="20"/>
        <v>0</v>
      </c>
      <c r="AX27" s="420">
        <f>Assumptions!Q53</f>
        <v>0</v>
      </c>
      <c r="AY27" s="421">
        <f>Assumptions!R53</f>
        <v>0</v>
      </c>
      <c r="AZ27" s="143">
        <f t="shared" si="24"/>
        <v>0</v>
      </c>
      <c r="BA27" s="176"/>
      <c r="BC27" s="185"/>
      <c r="BD27" s="187"/>
      <c r="BE27" s="185"/>
      <c r="BF27" s="191"/>
      <c r="BG27" s="186"/>
      <c r="BJ27" s="71"/>
      <c r="BS27" s="71"/>
    </row>
    <row r="28" spans="1:110" ht="26.4" thickBot="1">
      <c r="A28" s="64" t="str">
        <f t="shared" si="5"/>
        <v>27. Wholesale trade</v>
      </c>
      <c r="B28" s="64">
        <f t="shared" si="6"/>
        <v>27</v>
      </c>
      <c r="C28" s="64">
        <f t="shared" si="12"/>
        <v>27</v>
      </c>
      <c r="D28" s="181" t="s">
        <v>1628</v>
      </c>
      <c r="E28" s="77">
        <f>CHOOSE('Calculation&amp;Summary'!$Q$35,atlantic!B28,bergen!B28,burlington!B28,camden!B28,capemay!B28,cumberland!B28,essex!B28,gloucester!B28,hudson!B28,hunterdon!B28,mercer!B28,middlesex!B28,monmouth!B28,morris!B28,ocean!B28,passaic!B28,salem!B28,somerset!B28,sussex!B28,union!B28,warren!B28)</f>
        <v>1.4978</v>
      </c>
      <c r="F28" s="77">
        <f>CHOOSE('Calculation&amp;Summary'!$Q$35,atlantic!C28,bergen!C28,burlington!C28,camden!C28,capemay!C28,cumberland!C28,essex!C28,gloucester!C28,hudson!C28,hunterdon!C28,mercer!C28,middlesex!C28,monmouth!C28,morris!C28,ocean!C28,passaic!C28,salem!C28,somerset!C28,sussex!C28,union!C28,warren!C28)</f>
        <v>0.25059999999999999</v>
      </c>
      <c r="G28" s="77">
        <f>CHOOSE('Calculation&amp;Summary'!$Q$35,atlantic!D28,bergen!D28,burlington!D28,camden!D28,capemay!D28,cumberland!D28,essex!D28,gloucester!D28,hudson!D28,hunterdon!D28,mercer!D28,middlesex!D28,monmouth!D28,morris!D28,ocean!D28,passaic!D28,salem!D28,somerset!D28,sussex!D28,union!D28,warren!D28)</f>
        <v>4.4093999999999998</v>
      </c>
      <c r="H28" s="77">
        <f>CHOOSE('Calculation&amp;Summary'!$Q$35,atlantic!E28,bergen!E28,burlington!E28,camden!E28,capemay!E28,cumberland!E28,essex!E28,gloucester!E28,hudson!E28,hunterdon!E28,mercer!E28,middlesex!E28,monmouth!E28,morris!E28,ocean!E28,passaic!E28,salem!E28,somerset!E28,sussex!E28,union!E28,warren!E28)</f>
        <v>0.9587</v>
      </c>
      <c r="I28" s="77">
        <f>CHOOSE('Calculation&amp;Summary'!$Q$35,atlantic!F28,bergen!F28,burlington!F28,camden!F28,capemay!F28,cumberland!F28,essex!F28,gloucester!F28,hudson!F28,hunterdon!F28,mercer!F28,middlesex!F28,monmouth!F28,morris!F28,ocean!F28,passaic!F28,salem!F28,somerset!F28,sussex!F28,union!F28,warren!F28)</f>
        <v>1.6026</v>
      </c>
      <c r="J28" s="77">
        <f>CHOOSE('Calculation&amp;Summary'!$Q$35,atlantic!G28,bergen!G28,burlington!G28,camden!G28,capemay!G28,cumberland!G28,essex!G28,gloucester!G28,hudson!G28,hunterdon!G28,mercer!G28,middlesex!G28,monmouth!G28,morris!G28,ocean!G28,passaic!G28,salem!G28,somerset!G28,sussex!G28,union!G28,warren!G28)</f>
        <v>2.024</v>
      </c>
      <c r="K28" s="65">
        <f t="shared" si="7"/>
        <v>440.94</v>
      </c>
      <c r="L28" s="65">
        <f t="shared" si="8"/>
        <v>217.85573122529644</v>
      </c>
      <c r="M28" s="147">
        <f t="shared" si="9"/>
        <v>25.06</v>
      </c>
      <c r="N28" s="237">
        <f t="shared" si="10"/>
        <v>15.637089729190064</v>
      </c>
      <c r="O28" s="236">
        <f t="shared" si="11"/>
        <v>71777.270403866045</v>
      </c>
      <c r="P28" s="90" t="s">
        <v>1228</v>
      </c>
      <c r="Q28" s="546">
        <f>AK7</f>
        <v>24500000</v>
      </c>
      <c r="R28" s="462" t="s">
        <v>1257</v>
      </c>
      <c r="S28" s="546">
        <f>AS7</f>
        <v>0</v>
      </c>
      <c r="T28" s="462" t="s">
        <v>1257</v>
      </c>
      <c r="U28" s="546">
        <f>BA7</f>
        <v>0</v>
      </c>
      <c r="V28" s="462" t="s">
        <v>1257</v>
      </c>
      <c r="W28" s="198">
        <f>SUM(U28,S28,Q28)</f>
        <v>24500000</v>
      </c>
      <c r="Z28" s="91"/>
      <c r="AC28" s="94"/>
      <c r="AD28" s="129">
        <f t="shared" si="21"/>
        <v>2032</v>
      </c>
      <c r="AE28" s="420">
        <f>Assumptions!E54</f>
        <v>0</v>
      </c>
      <c r="AF28" s="421">
        <f>Assumptions!F54</f>
        <v>0</v>
      </c>
      <c r="AG28" s="143">
        <f t="shared" si="19"/>
        <v>0</v>
      </c>
      <c r="AH28" s="420">
        <f>Assumptions!G54</f>
        <v>0</v>
      </c>
      <c r="AI28" s="421">
        <f>Assumptions!H54</f>
        <v>0</v>
      </c>
      <c r="AJ28" s="143">
        <f t="shared" si="15"/>
        <v>0</v>
      </c>
      <c r="AK28" s="176"/>
      <c r="AL28" s="129">
        <f t="shared" si="22"/>
        <v>2032</v>
      </c>
      <c r="AM28" s="420">
        <f>Assumptions!J54</f>
        <v>0</v>
      </c>
      <c r="AN28" s="421">
        <f>Assumptions!K54</f>
        <v>0</v>
      </c>
      <c r="AO28" s="143">
        <f t="shared" si="16"/>
        <v>0</v>
      </c>
      <c r="AP28" s="420">
        <f>Assumptions!L54</f>
        <v>0</v>
      </c>
      <c r="AQ28" s="421">
        <f>Assumptions!M54</f>
        <v>0</v>
      </c>
      <c r="AR28" s="143">
        <f t="shared" si="17"/>
        <v>0</v>
      </c>
      <c r="AS28" s="176"/>
      <c r="AT28" s="166">
        <f t="shared" si="23"/>
        <v>2032</v>
      </c>
      <c r="AU28" s="420">
        <f>Assumptions!O54</f>
        <v>0</v>
      </c>
      <c r="AV28" s="421">
        <f>Assumptions!P54</f>
        <v>0</v>
      </c>
      <c r="AW28" s="143">
        <f t="shared" si="20"/>
        <v>0</v>
      </c>
      <c r="AX28" s="420">
        <f>Assumptions!Q54</f>
        <v>0</v>
      </c>
      <c r="AY28" s="421">
        <f>Assumptions!R54</f>
        <v>0</v>
      </c>
      <c r="AZ28" s="143">
        <f t="shared" si="24"/>
        <v>0</v>
      </c>
      <c r="BA28" s="176"/>
      <c r="BC28" s="185"/>
      <c r="BD28" s="187"/>
      <c r="BE28" s="185"/>
      <c r="BF28" s="190"/>
      <c r="BG28" s="185"/>
      <c r="BJ28" s="71"/>
      <c r="BS28" s="71"/>
      <c r="CB28" s="71"/>
      <c r="CK28" s="71"/>
      <c r="CT28" s="71"/>
      <c r="DC28" s="71"/>
    </row>
    <row r="29" spans="1:110">
      <c r="A29" s="64" t="str">
        <f t="shared" si="5"/>
        <v>28. Retail trade</v>
      </c>
      <c r="B29" s="64">
        <f t="shared" si="6"/>
        <v>28</v>
      </c>
      <c r="C29" s="64">
        <f t="shared" si="12"/>
        <v>28</v>
      </c>
      <c r="D29" s="181" t="s">
        <v>1629</v>
      </c>
      <c r="E29" s="77">
        <f>CHOOSE('Calculation&amp;Summary'!$Q$35,atlantic!B29,bergen!B29,burlington!B29,camden!B29,capemay!B29,cumberland!B29,essex!B29,gloucester!B29,hudson!B29,hunterdon!B29,mercer!B29,middlesex!B29,monmouth!B29,morris!B29,ocean!B29,passaic!B29,salem!B29,somerset!B29,sussex!B29,union!B29,warren!B29)</f>
        <v>1.5141</v>
      </c>
      <c r="F29" s="77">
        <f>CHOOSE('Calculation&amp;Summary'!$Q$35,atlantic!C29,bergen!C29,burlington!C29,camden!C29,capemay!C29,cumberland!C29,essex!C29,gloucester!C29,hudson!C29,hunterdon!C29,mercer!C29,middlesex!C29,monmouth!C29,morris!C29,ocean!C29,passaic!C29,salem!C29,somerset!C29,sussex!C29,union!C29,warren!C29)</f>
        <v>0.29239999999999999</v>
      </c>
      <c r="G29" s="77">
        <f>CHOOSE('Calculation&amp;Summary'!$Q$35,atlantic!D29,bergen!D29,burlington!D29,camden!D29,capemay!D29,cumberland!D29,essex!D29,gloucester!D29,hudson!D29,hunterdon!D29,mercer!D29,middlesex!D29,monmouth!D29,morris!D29,ocean!D29,passaic!D29,salem!D29,somerset!D29,sussex!D29,union!D29,warren!D29)</f>
        <v>9.5043000000000006</v>
      </c>
      <c r="H29" s="77">
        <f>CHOOSE('Calculation&amp;Summary'!$Q$35,atlantic!E29,bergen!E29,burlington!E29,camden!E29,capemay!E29,cumberland!E29,essex!E29,gloucester!E29,hudson!E29,hunterdon!E29,mercer!E29,middlesex!E29,monmouth!E29,morris!E29,ocean!E29,passaic!E29,salem!E29,somerset!E29,sussex!E29,union!E29,warren!E29)</f>
        <v>0.97909999999999997</v>
      </c>
      <c r="I29" s="77">
        <f>CHOOSE('Calculation&amp;Summary'!$Q$35,atlantic!F29,bergen!F29,burlington!F29,camden!F29,capemay!F29,cumberland!F29,essex!F29,gloucester!F29,hudson!F29,hunterdon!F29,mercer!F29,middlesex!F29,monmouth!F29,morris!F29,ocean!F29,passaic!F29,salem!F29,somerset!F29,sussex!F29,union!F29,warren!F29)</f>
        <v>1.4514</v>
      </c>
      <c r="J29" s="77">
        <f>CHOOSE('Calculation&amp;Summary'!$Q$35,atlantic!G29,bergen!G29,burlington!G29,camden!G29,capemay!G29,cumberland!G29,essex!G29,gloucester!G29,hudson!G29,hunterdon!G29,mercer!G29,middlesex!G29,monmouth!G29,morris!G29,ocean!G29,passaic!G29,salem!G29,somerset!G29,sussex!G29,union!G29,warren!G29)</f>
        <v>1.3209</v>
      </c>
      <c r="K29" s="65">
        <f t="shared" si="7"/>
        <v>950.43000000000006</v>
      </c>
      <c r="L29" s="65">
        <f t="shared" si="8"/>
        <v>719.53213717919607</v>
      </c>
      <c r="M29" s="147">
        <f t="shared" si="9"/>
        <v>29.24</v>
      </c>
      <c r="N29" s="237">
        <f t="shared" si="10"/>
        <v>20.146065867438335</v>
      </c>
      <c r="O29" s="236">
        <f t="shared" si="11"/>
        <v>27998.840950200745</v>
      </c>
      <c r="P29" s="90" t="s">
        <v>1193</v>
      </c>
      <c r="Q29" s="547">
        <f>Q26-Q28</f>
        <v>7933100.0000000037</v>
      </c>
      <c r="R29" s="200" t="s">
        <v>1254</v>
      </c>
      <c r="S29" s="547">
        <f>S26-S28</f>
        <v>0</v>
      </c>
      <c r="T29" s="200" t="s">
        <v>1254</v>
      </c>
      <c r="U29" s="547">
        <f>U26-U28</f>
        <v>0</v>
      </c>
      <c r="V29" s="161" t="s">
        <v>1254</v>
      </c>
      <c r="W29" s="201">
        <f>SUM(U29,S29,Q29)</f>
        <v>7933100.0000000037</v>
      </c>
      <c r="Z29" s="91"/>
      <c r="AC29" s="94"/>
      <c r="AD29" s="129">
        <f t="shared" si="21"/>
        <v>2033</v>
      </c>
      <c r="AE29" s="420">
        <f>Assumptions!E55</f>
        <v>0</v>
      </c>
      <c r="AF29" s="421">
        <f>Assumptions!F55</f>
        <v>0</v>
      </c>
      <c r="AG29" s="143">
        <f t="shared" si="19"/>
        <v>0</v>
      </c>
      <c r="AH29" s="420">
        <f>Assumptions!G55</f>
        <v>0</v>
      </c>
      <c r="AI29" s="421">
        <f>Assumptions!H55</f>
        <v>0</v>
      </c>
      <c r="AJ29" s="143">
        <f t="shared" si="15"/>
        <v>0</v>
      </c>
      <c r="AK29" s="176"/>
      <c r="AL29" s="129">
        <f t="shared" si="22"/>
        <v>2033</v>
      </c>
      <c r="AM29" s="420">
        <f>Assumptions!J55</f>
        <v>0</v>
      </c>
      <c r="AN29" s="421">
        <f>Assumptions!K55</f>
        <v>0</v>
      </c>
      <c r="AO29" s="143">
        <f t="shared" ref="AO29" si="25">AN29*AM29</f>
        <v>0</v>
      </c>
      <c r="AP29" s="420">
        <f>Assumptions!L55</f>
        <v>0</v>
      </c>
      <c r="AQ29" s="421">
        <f>Assumptions!M55</f>
        <v>0</v>
      </c>
      <c r="AR29" s="143">
        <f t="shared" si="17"/>
        <v>0</v>
      </c>
      <c r="AS29" s="176"/>
      <c r="AT29" s="166">
        <f t="shared" si="23"/>
        <v>2033</v>
      </c>
      <c r="AU29" s="420">
        <f>Assumptions!O55</f>
        <v>0</v>
      </c>
      <c r="AV29" s="421">
        <f>Assumptions!P55</f>
        <v>0</v>
      </c>
      <c r="AW29" s="143">
        <f t="shared" si="20"/>
        <v>0</v>
      </c>
      <c r="AX29" s="420">
        <f>Assumptions!Q55</f>
        <v>0</v>
      </c>
      <c r="AY29" s="421">
        <f>Assumptions!R55</f>
        <v>0</v>
      </c>
      <c r="AZ29" s="143">
        <f t="shared" si="24"/>
        <v>0</v>
      </c>
      <c r="BA29" s="176"/>
      <c r="BC29" s="185"/>
      <c r="BD29" s="187"/>
      <c r="BE29" s="185"/>
      <c r="BF29" s="190"/>
      <c r="BG29" s="185"/>
      <c r="BH29" s="70"/>
      <c r="BJ29" s="71"/>
      <c r="BK29" s="24"/>
      <c r="BM29" s="71"/>
      <c r="BQ29" s="70"/>
      <c r="BS29" s="71"/>
      <c r="BT29" s="24"/>
      <c r="BV29" s="71"/>
      <c r="BZ29" s="70"/>
      <c r="CB29" s="71"/>
      <c r="CC29" s="24"/>
      <c r="CE29" s="71"/>
      <c r="CI29" s="70"/>
      <c r="CK29" s="71"/>
      <c r="CL29" s="24"/>
      <c r="CN29" s="71"/>
      <c r="CR29" s="70"/>
      <c r="CT29" s="71"/>
      <c r="CU29" s="24"/>
      <c r="CW29" s="71"/>
      <c r="DA29" s="70"/>
      <c r="DC29" s="71"/>
      <c r="DD29" s="24"/>
      <c r="DF29" s="71"/>
    </row>
    <row r="30" spans="1:110" ht="26.4" thickBot="1">
      <c r="A30" s="64" t="str">
        <f t="shared" si="5"/>
        <v>29. Air transportation</v>
      </c>
      <c r="B30" s="64">
        <f t="shared" si="6"/>
        <v>29</v>
      </c>
      <c r="C30" s="64">
        <f t="shared" si="12"/>
        <v>29</v>
      </c>
      <c r="D30" s="181" t="s">
        <v>1630</v>
      </c>
      <c r="E30" s="77">
        <f>CHOOSE('Calculation&amp;Summary'!$Q$35,atlantic!B30,bergen!B30,burlington!B30,camden!B30,capemay!B30,cumberland!B30,essex!B30,gloucester!B30,hudson!B30,hunterdon!B30,mercer!B30,middlesex!B30,monmouth!B30,morris!B30,ocean!B30,passaic!B30,salem!B30,somerset!B30,sussex!B30,union!B30,warren!B30)</f>
        <v>1.3740000000000001</v>
      </c>
      <c r="F30" s="77">
        <f>CHOOSE('Calculation&amp;Summary'!$Q$35,atlantic!C30,bergen!C30,burlington!C30,camden!C30,capemay!C30,cumberland!C30,essex!C30,gloucester!C30,hudson!C30,hunterdon!C30,mercer!C30,middlesex!C30,monmouth!C30,morris!C30,ocean!C30,passaic!C30,salem!C30,somerset!C30,sussex!C30,union!C30,warren!C30)</f>
        <v>0.14360000000000001</v>
      </c>
      <c r="G30" s="77">
        <f>CHOOSE('Calculation&amp;Summary'!$Q$35,atlantic!D30,bergen!D30,burlington!D30,camden!D30,capemay!D30,cumberland!D30,essex!D30,gloucester!D30,hudson!D30,hunterdon!D30,mercer!D30,middlesex!D30,monmouth!D30,morris!D30,ocean!D30,passaic!D30,salem!D30,somerset!D30,sussex!D30,union!D30,warren!D30)</f>
        <v>3.0668000000000002</v>
      </c>
      <c r="H30" s="77">
        <f>CHOOSE('Calculation&amp;Summary'!$Q$35,atlantic!E30,bergen!E30,burlington!E30,camden!E30,capemay!E30,cumberland!E30,essex!E30,gloucester!E30,hudson!E30,hunterdon!E30,mercer!E30,middlesex!E30,monmouth!E30,morris!E30,ocean!E30,passaic!E30,salem!E30,somerset!E30,sussex!E30,union!E30,warren!E30)</f>
        <v>0.66</v>
      </c>
      <c r="I30" s="77">
        <f>CHOOSE('Calculation&amp;Summary'!$Q$35,atlantic!F30,bergen!F30,burlington!F30,camden!F30,capemay!F30,cumberland!F30,essex!F30,gloucester!F30,hudson!F30,hunterdon!F30,mercer!F30,middlesex!F30,monmouth!F30,morris!F30,ocean!F30,passaic!F30,salem!F30,somerset!F30,sussex!F30,union!F30,warren!F30)</f>
        <v>2.0550999999999999</v>
      </c>
      <c r="J30" s="77">
        <f>CHOOSE('Calculation&amp;Summary'!$Q$35,atlantic!G30,bergen!G30,burlington!G30,camden!G30,capemay!G30,cumberland!G30,essex!G30,gloucester!G30,hudson!G30,hunterdon!G30,mercer!G30,middlesex!G30,monmouth!G30,morris!G30,ocean!G30,passaic!G30,salem!G30,somerset!G30,sussex!G30,union!G30,warren!G30)</f>
        <v>2.6892</v>
      </c>
      <c r="K30" s="65">
        <f t="shared" si="7"/>
        <v>306.68</v>
      </c>
      <c r="L30" s="65">
        <f t="shared" si="8"/>
        <v>114.04135058753533</v>
      </c>
      <c r="M30" s="147">
        <f t="shared" si="9"/>
        <v>14.360000000000001</v>
      </c>
      <c r="N30" s="237">
        <f t="shared" si="10"/>
        <v>6.9874945258138297</v>
      </c>
      <c r="O30" s="236">
        <f t="shared" si="11"/>
        <v>61271.586927150609</v>
      </c>
      <c r="P30" s="95"/>
      <c r="Q30" s="96"/>
      <c r="R30" s="74"/>
      <c r="S30" s="74"/>
      <c r="T30" s="74"/>
      <c r="U30" s="74"/>
      <c r="V30" s="74"/>
      <c r="W30" s="112"/>
      <c r="Z30" s="97"/>
      <c r="AC30" s="94"/>
      <c r="AD30" s="129">
        <f t="shared" si="21"/>
        <v>2034</v>
      </c>
      <c r="AE30" s="420">
        <f>Assumptions!E56</f>
        <v>0</v>
      </c>
      <c r="AF30" s="421">
        <f>Assumptions!F56</f>
        <v>0</v>
      </c>
      <c r="AG30" s="143">
        <f t="shared" si="19"/>
        <v>0</v>
      </c>
      <c r="AH30" s="420">
        <f>Assumptions!G56</f>
        <v>0</v>
      </c>
      <c r="AI30" s="421">
        <f>Assumptions!H56</f>
        <v>0</v>
      </c>
      <c r="AJ30" s="143">
        <f t="shared" si="15"/>
        <v>0</v>
      </c>
      <c r="AK30" s="176"/>
      <c r="AL30" s="129">
        <f t="shared" si="22"/>
        <v>2034</v>
      </c>
      <c r="AM30" s="420">
        <f>Assumptions!J56</f>
        <v>0</v>
      </c>
      <c r="AN30" s="421">
        <f>Assumptions!K56</f>
        <v>0</v>
      </c>
      <c r="AO30" s="143">
        <f>AN30*AM30</f>
        <v>0</v>
      </c>
      <c r="AP30" s="420">
        <f>Assumptions!L56</f>
        <v>0</v>
      </c>
      <c r="AQ30" s="421">
        <f>Assumptions!M56</f>
        <v>0</v>
      </c>
      <c r="AR30" s="143">
        <f t="shared" si="17"/>
        <v>0</v>
      </c>
      <c r="AS30" s="176"/>
      <c r="AT30" s="166">
        <f t="shared" si="23"/>
        <v>2034</v>
      </c>
      <c r="AU30" s="420">
        <f>Assumptions!O56</f>
        <v>0</v>
      </c>
      <c r="AV30" s="421">
        <f>Assumptions!P56</f>
        <v>0</v>
      </c>
      <c r="AW30" s="143">
        <f t="shared" si="20"/>
        <v>0</v>
      </c>
      <c r="AX30" s="420">
        <f>Assumptions!Q56</f>
        <v>0</v>
      </c>
      <c r="AY30" s="421">
        <f>Assumptions!R56</f>
        <v>0</v>
      </c>
      <c r="AZ30" s="143">
        <f t="shared" si="24"/>
        <v>0</v>
      </c>
      <c r="BA30" s="176"/>
      <c r="BC30" s="185"/>
      <c r="BD30" s="192"/>
      <c r="BE30" s="185"/>
      <c r="BF30" s="190"/>
      <c r="BG30" s="185"/>
      <c r="BH30" s="70"/>
      <c r="BJ30" s="71"/>
      <c r="BK30" s="24"/>
      <c r="BM30" s="71"/>
      <c r="BQ30" s="70"/>
      <c r="BS30" s="71"/>
      <c r="BT30" s="24"/>
      <c r="BV30" s="71"/>
      <c r="BZ30" s="70"/>
      <c r="CB30" s="71"/>
      <c r="CC30" s="24"/>
      <c r="CE30" s="71"/>
      <c r="CI30" s="70"/>
      <c r="CK30" s="71"/>
      <c r="CL30" s="24"/>
      <c r="CN30" s="71"/>
      <c r="CR30" s="70"/>
      <c r="CT30" s="71"/>
      <c r="CU30" s="24"/>
      <c r="CW30" s="71"/>
      <c r="DA30" s="70"/>
      <c r="DC30" s="71"/>
      <c r="DD30" s="24"/>
      <c r="DF30" s="71"/>
    </row>
    <row r="31" spans="1:110" ht="26.4" thickBot="1">
      <c r="A31" s="64" t="str">
        <f t="shared" si="5"/>
        <v>30. Rail transportation</v>
      </c>
      <c r="B31" s="64">
        <f t="shared" si="6"/>
        <v>30</v>
      </c>
      <c r="C31" s="64">
        <f t="shared" si="12"/>
        <v>30</v>
      </c>
      <c r="D31" s="181" t="s">
        <v>1631</v>
      </c>
      <c r="E31" s="77">
        <f>CHOOSE('Calculation&amp;Summary'!$Q$35,atlantic!B31,bergen!B31,burlington!B31,camden!B31,capemay!B31,cumberland!B31,essex!B31,gloucester!B31,hudson!B31,hunterdon!B31,mercer!B31,middlesex!B31,monmouth!B31,morris!B31,ocean!B31,passaic!B31,salem!B31,somerset!B31,sussex!B31,union!B31,warren!B31)</f>
        <v>1.522</v>
      </c>
      <c r="F31" s="77">
        <f>CHOOSE('Calculation&amp;Summary'!$Q$35,atlantic!C31,bergen!C31,burlington!C31,camden!C31,capemay!C31,cumberland!C31,essex!C31,gloucester!C31,hudson!C31,hunterdon!C31,mercer!C31,middlesex!C31,monmouth!C31,morris!C31,ocean!C31,passaic!C31,salem!C31,somerset!C31,sussex!C31,union!C31,warren!C31)</f>
        <v>0.1605</v>
      </c>
      <c r="G31" s="77">
        <f>CHOOSE('Calculation&amp;Summary'!$Q$35,atlantic!D31,bergen!D31,burlington!D31,camden!D31,capemay!D31,cumberland!D31,essex!D31,gloucester!D31,hudson!D31,hunterdon!D31,mercer!D31,middlesex!D31,monmouth!D31,morris!D31,ocean!D31,passaic!D31,salem!D31,somerset!D31,sussex!D31,union!D31,warren!D31)</f>
        <v>2.9085999999999999</v>
      </c>
      <c r="H31" s="77">
        <f>CHOOSE('Calculation&amp;Summary'!$Q$35,atlantic!E31,bergen!E31,burlington!E31,camden!E31,capemay!E31,cumberland!E31,essex!E31,gloucester!E31,hudson!E31,hunterdon!E31,mercer!E31,middlesex!E31,monmouth!E31,morris!E31,ocean!E31,passaic!E31,salem!E31,somerset!E31,sussex!E31,union!E31,warren!E31)</f>
        <v>0.74370000000000003</v>
      </c>
      <c r="I31" s="77">
        <f>CHOOSE('Calculation&amp;Summary'!$Q$35,atlantic!F31,bergen!F31,burlington!F31,camden!F31,capemay!F31,cumberland!F31,essex!F31,gloucester!F31,hudson!F31,hunterdon!F31,mercer!F31,middlesex!F31,monmouth!F31,morris!F31,ocean!F31,passaic!F31,salem!F31,somerset!F31,sussex!F31,union!F31,warren!F31)</f>
        <v>2.4853999999999998</v>
      </c>
      <c r="J31" s="77">
        <f>CHOOSE('Calculation&amp;Summary'!$Q$35,atlantic!G31,bergen!G31,burlington!G31,camden!G31,capemay!G31,cumberland!G31,essex!G31,gloucester!G31,hudson!G31,hunterdon!G31,mercer!G31,middlesex!G31,monmouth!G31,morris!G31,ocean!G31,passaic!G31,salem!G31,somerset!G31,sussex!G31,union!G31,warren!G31)</f>
        <v>3.4247000000000001</v>
      </c>
      <c r="K31" s="65">
        <f t="shared" si="7"/>
        <v>290.86</v>
      </c>
      <c r="L31" s="65">
        <f t="shared" si="8"/>
        <v>84.930066867170851</v>
      </c>
      <c r="M31" s="147">
        <f t="shared" si="9"/>
        <v>16.05</v>
      </c>
      <c r="N31" s="237">
        <f t="shared" si="10"/>
        <v>6.457713044178</v>
      </c>
      <c r="O31" s="236">
        <f t="shared" si="11"/>
        <v>76035.652418333193</v>
      </c>
      <c r="P31" s="103" t="s">
        <v>1331</v>
      </c>
      <c r="Q31" s="250">
        <f>Q28/Q20</f>
        <v>0.28191569723523185</v>
      </c>
      <c r="R31" s="78" t="s">
        <v>1333</v>
      </c>
      <c r="S31" s="104"/>
      <c r="T31" s="78"/>
      <c r="U31" s="78"/>
      <c r="V31" s="78"/>
      <c r="X31" s="78"/>
      <c r="Y31" s="104"/>
      <c r="AC31" s="114"/>
      <c r="AD31" s="74"/>
      <c r="AE31" s="74"/>
      <c r="AF31" s="132"/>
      <c r="AG31" s="74"/>
      <c r="AH31" s="74"/>
      <c r="AI31" s="74"/>
      <c r="AJ31" s="74"/>
      <c r="AK31" s="570"/>
      <c r="AL31" s="74"/>
      <c r="AM31" s="74"/>
      <c r="AN31" s="132"/>
      <c r="AO31" s="74"/>
      <c r="AP31" s="74"/>
      <c r="AQ31" s="74"/>
      <c r="AR31" s="74"/>
      <c r="AS31" s="570"/>
      <c r="AT31" s="74"/>
      <c r="AU31" s="74"/>
      <c r="AV31" s="132"/>
      <c r="AW31" s="74"/>
      <c r="AX31" s="74"/>
      <c r="AY31" s="74"/>
      <c r="AZ31" s="74"/>
      <c r="BA31" s="571"/>
      <c r="BC31" s="185"/>
      <c r="BD31" s="192"/>
      <c r="BE31" s="185"/>
      <c r="BF31" s="190"/>
      <c r="BG31" s="185"/>
      <c r="BH31" s="70"/>
      <c r="BJ31" s="71"/>
      <c r="BK31" s="24"/>
      <c r="BM31" s="71"/>
      <c r="BQ31" s="70"/>
      <c r="BS31" s="71"/>
      <c r="BT31" s="24"/>
      <c r="BV31" s="71"/>
      <c r="BZ31" s="70"/>
      <c r="CB31" s="71"/>
      <c r="CC31" s="24"/>
      <c r="CE31" s="71"/>
      <c r="CI31" s="70"/>
      <c r="CK31" s="71"/>
      <c r="CL31" s="24"/>
      <c r="CN31" s="71"/>
      <c r="CR31" s="70"/>
      <c r="CT31" s="71"/>
      <c r="CU31" s="24"/>
      <c r="CW31" s="71"/>
      <c r="DA31" s="70"/>
      <c r="DC31" s="71"/>
      <c r="DD31" s="24"/>
      <c r="DF31" s="71"/>
    </row>
    <row r="32" spans="1:110" ht="26.4" thickBot="1">
      <c r="A32" s="64" t="str">
        <f t="shared" si="5"/>
        <v>31. Water transportation</v>
      </c>
      <c r="B32" s="64">
        <f t="shared" si="6"/>
        <v>31</v>
      </c>
      <c r="C32" s="64">
        <f t="shared" si="12"/>
        <v>31</v>
      </c>
      <c r="D32" s="181" t="s">
        <v>1632</v>
      </c>
      <c r="E32" s="77">
        <f>CHOOSE('Calculation&amp;Summary'!$Q$35,atlantic!B32,bergen!B32,burlington!B32,camden!B32,capemay!B32,cumberland!B32,essex!B32,gloucester!B32,hudson!B32,hunterdon!B32,mercer!B32,middlesex!B32,monmouth!B32,morris!B32,ocean!B32,passaic!B32,salem!B32,somerset!B32,sussex!B32,union!B32,warren!B32)</f>
        <v>1.3868</v>
      </c>
      <c r="F32" s="77">
        <f>CHOOSE('Calculation&amp;Summary'!$Q$35,atlantic!C32,bergen!C32,burlington!C32,camden!C32,capemay!C32,cumberland!C32,essex!C32,gloucester!C32,hudson!C32,hunterdon!C32,mercer!C32,middlesex!C32,monmouth!C32,morris!C32,ocean!C32,passaic!C32,salem!C32,somerset!C32,sussex!C32,union!C32,warren!C32)</f>
        <v>0.20169999999999999</v>
      </c>
      <c r="G32" s="77">
        <f>CHOOSE('Calculation&amp;Summary'!$Q$35,atlantic!D32,bergen!D32,burlington!D32,camden!D32,capemay!D32,cumberland!D32,essex!D32,gloucester!D32,hudson!D32,hunterdon!D32,mercer!D32,middlesex!D32,monmouth!D32,morris!D32,ocean!D32,passaic!D32,salem!D32,somerset!D32,sussex!D32,union!D32,warren!D32)</f>
        <v>3.2825000000000002</v>
      </c>
      <c r="H32" s="77">
        <f>CHOOSE('Calculation&amp;Summary'!$Q$35,atlantic!E32,bergen!E32,burlington!E32,camden!E32,capemay!E32,cumberland!E32,essex!E32,gloucester!E32,hudson!E32,hunterdon!E32,mercer!E32,middlesex!E32,monmouth!E32,morris!E32,ocean!E32,passaic!E32,salem!E32,somerset!E32,sussex!E32,union!E32,warren!E32)</f>
        <v>0.64929999999999999</v>
      </c>
      <c r="I32" s="77">
        <f>CHOOSE('Calculation&amp;Summary'!$Q$35,atlantic!F32,bergen!F32,burlington!F32,camden!F32,capemay!F32,cumberland!F32,essex!F32,gloucester!F32,hudson!F32,hunterdon!F32,mercer!F32,middlesex!F32,monmouth!F32,morris!F32,ocean!F32,passaic!F32,salem!F32,somerset!F32,sussex!F32,union!F32,warren!F32)</f>
        <v>1.5826</v>
      </c>
      <c r="J32" s="77">
        <f>CHOOSE('Calculation&amp;Summary'!$Q$35,atlantic!G32,bergen!G32,burlington!G32,camden!G32,capemay!G32,cumberland!G32,essex!G32,gloucester!G32,hudson!G32,hunterdon!G32,mercer!G32,middlesex!G32,monmouth!G32,morris!G32,ocean!G32,passaic!G32,salem!G32,somerset!G32,sussex!G32,union!G32,warren!G32)</f>
        <v>2.2158000000000002</v>
      </c>
      <c r="K32" s="65">
        <f t="shared" si="7"/>
        <v>328.25</v>
      </c>
      <c r="L32" s="65">
        <f t="shared" si="8"/>
        <v>148.14062641032584</v>
      </c>
      <c r="M32" s="147">
        <f t="shared" si="9"/>
        <v>20.169999999999998</v>
      </c>
      <c r="N32" s="237">
        <f t="shared" si="10"/>
        <v>12.744850246429925</v>
      </c>
      <c r="O32" s="236">
        <f t="shared" si="11"/>
        <v>86032.107162344037</v>
      </c>
      <c r="P32" s="81"/>
      <c r="Q32" s="73"/>
      <c r="W32" s="73"/>
      <c r="X32" s="73"/>
      <c r="Y32" s="73"/>
      <c r="BC32" s="185"/>
      <c r="BD32" s="187"/>
      <c r="BE32" s="185"/>
      <c r="BF32" s="190"/>
      <c r="BG32" s="185"/>
      <c r="BH32" s="70"/>
      <c r="BJ32" s="71"/>
      <c r="BK32" s="24"/>
      <c r="BM32" s="71"/>
      <c r="BQ32" s="70"/>
      <c r="BS32" s="71"/>
      <c r="BT32" s="24"/>
      <c r="BV32" s="71"/>
      <c r="BZ32" s="70"/>
      <c r="CB32" s="71"/>
      <c r="CC32" s="24"/>
      <c r="CE32" s="71"/>
      <c r="CI32" s="70"/>
      <c r="CK32" s="71"/>
      <c r="CL32" s="24"/>
      <c r="CN32" s="71"/>
      <c r="CR32" s="70"/>
      <c r="CT32" s="71"/>
      <c r="CU32" s="24"/>
      <c r="CW32" s="71"/>
      <c r="DA32" s="70"/>
      <c r="DC32" s="71"/>
      <c r="DD32" s="24"/>
      <c r="DF32" s="71"/>
    </row>
    <row r="33" spans="1:110" ht="29.4" thickBot="1">
      <c r="A33" s="64" t="str">
        <f t="shared" si="5"/>
        <v>32. Truck transportation</v>
      </c>
      <c r="B33" s="64">
        <f t="shared" si="6"/>
        <v>32</v>
      </c>
      <c r="C33" s="64">
        <f t="shared" si="12"/>
        <v>32</v>
      </c>
      <c r="D33" s="181" t="s">
        <v>1633</v>
      </c>
      <c r="E33" s="77">
        <f>CHOOSE('Calculation&amp;Summary'!$Q$35,atlantic!B33,bergen!B33,burlington!B33,camden!B33,capemay!B33,cumberland!B33,essex!B33,gloucester!B33,hudson!B33,hunterdon!B33,mercer!B33,middlesex!B33,monmouth!B33,morris!B33,ocean!B33,passaic!B33,salem!B33,somerset!B33,sussex!B33,union!B33,warren!B33)</f>
        <v>1.5329999999999999</v>
      </c>
      <c r="F33" s="77">
        <f>CHOOSE('Calculation&amp;Summary'!$Q$35,atlantic!C33,bergen!C33,burlington!C33,camden!C33,capemay!C33,cumberland!C33,essex!C33,gloucester!C33,hudson!C33,hunterdon!C33,mercer!C33,middlesex!C33,monmouth!C33,morris!C33,ocean!C33,passaic!C33,salem!C33,somerset!C33,sussex!C33,union!C33,warren!C33)</f>
        <v>0.2326</v>
      </c>
      <c r="G33" s="77">
        <f>CHOOSE('Calculation&amp;Summary'!$Q$35,atlantic!D33,bergen!D33,burlington!D33,camden!D33,capemay!D33,cumberland!D33,essex!D33,gloucester!D33,hudson!D33,hunterdon!D33,mercer!D33,middlesex!D33,monmouth!D33,morris!D33,ocean!D33,passaic!D33,salem!D33,somerset!D33,sussex!D33,union!D33,warren!D33)</f>
        <v>5.4283000000000001</v>
      </c>
      <c r="H33" s="77">
        <f>CHOOSE('Calculation&amp;Summary'!$Q$35,atlantic!E33,bergen!E33,burlington!E33,camden!E33,capemay!E33,cumberland!E33,essex!E33,gloucester!E33,hudson!E33,hunterdon!E33,mercer!E33,middlesex!E33,monmouth!E33,morris!E33,ocean!E33,passaic!E33,salem!E33,somerset!E33,sussex!E33,union!E33,warren!E33)</f>
        <v>0.79110000000000003</v>
      </c>
      <c r="I33" s="77">
        <f>CHOOSE('Calculation&amp;Summary'!$Q$35,atlantic!F33,bergen!F33,burlington!F33,camden!F33,capemay!F33,cumberland!F33,essex!F33,gloucester!F33,hudson!F33,hunterdon!F33,mercer!F33,middlesex!F33,monmouth!F33,morris!F33,ocean!F33,passaic!F33,salem!F33,somerset!F33,sussex!F33,union!F33,warren!F33)</f>
        <v>1.7862</v>
      </c>
      <c r="J33" s="77">
        <f>CHOOSE('Calculation&amp;Summary'!$Q$35,atlantic!G33,bergen!G33,burlington!G33,camden!G33,capemay!G33,cumberland!G33,essex!G33,gloucester!G33,hudson!G33,hunterdon!G33,mercer!G33,middlesex!G33,monmouth!G33,morris!G33,ocean!G33,passaic!G33,salem!G33,somerset!G33,sussex!G33,union!G33,warren!G33)</f>
        <v>1.909</v>
      </c>
      <c r="K33" s="65">
        <f t="shared" si="7"/>
        <v>542.83000000000004</v>
      </c>
      <c r="L33" s="65">
        <f t="shared" si="8"/>
        <v>284.35306443163961</v>
      </c>
      <c r="M33" s="147">
        <f t="shared" si="9"/>
        <v>23.26</v>
      </c>
      <c r="N33" s="237">
        <f t="shared" si="10"/>
        <v>13.022058000223939</v>
      </c>
      <c r="O33" s="236">
        <f t="shared" si="11"/>
        <v>45795.384784237242</v>
      </c>
      <c r="P33" s="60" t="s">
        <v>29</v>
      </c>
      <c r="Q33" s="60"/>
      <c r="R33" s="60"/>
      <c r="S33" s="645" t="s">
        <v>1300</v>
      </c>
      <c r="T33" s="223"/>
      <c r="U33" s="223"/>
      <c r="V33" s="223"/>
      <c r="BC33" s="193"/>
      <c r="BD33" s="185"/>
      <c r="BE33" s="185"/>
      <c r="BF33" s="185"/>
      <c r="BG33" s="185"/>
      <c r="BH33" s="70"/>
      <c r="BJ33" s="71"/>
      <c r="BK33" s="24"/>
      <c r="BM33" s="71"/>
      <c r="BQ33" s="70"/>
      <c r="BS33" s="71"/>
      <c r="BT33" s="24"/>
      <c r="BV33" s="71"/>
      <c r="BZ33" s="70"/>
      <c r="CB33" s="71"/>
      <c r="CC33" s="24"/>
      <c r="CE33" s="71"/>
      <c r="CI33" s="70"/>
      <c r="CK33" s="71"/>
      <c r="CL33" s="24"/>
      <c r="CN33" s="71"/>
      <c r="CR33" s="70"/>
      <c r="CT33" s="71"/>
      <c r="CU33" s="24"/>
      <c r="CW33" s="71"/>
      <c r="DA33" s="70"/>
      <c r="DC33" s="71"/>
      <c r="DD33" s="24"/>
      <c r="DF33" s="71"/>
    </row>
    <row r="34" spans="1:110" ht="26.4" thickBot="1">
      <c r="A34" s="64" t="str">
        <f t="shared" si="5"/>
        <v>33. Transit and ground passenger transportation*</v>
      </c>
      <c r="B34" s="64">
        <f t="shared" si="6"/>
        <v>33</v>
      </c>
      <c r="C34" s="64">
        <f t="shared" si="12"/>
        <v>33</v>
      </c>
      <c r="D34" s="181" t="s">
        <v>1634</v>
      </c>
      <c r="E34" s="77">
        <f>CHOOSE('Calculation&amp;Summary'!$Q$35,atlantic!B34,bergen!B34,burlington!B34,camden!B34,capemay!B34,cumberland!B34,essex!B34,gloucester!B34,hudson!B34,hunterdon!B34,mercer!B34,middlesex!B34,monmouth!B34,morris!B34,ocean!B34,passaic!B34,salem!B34,somerset!B34,sussex!B34,union!B34,warren!B34)</f>
        <v>1.3801000000000001</v>
      </c>
      <c r="F34" s="77">
        <f>CHOOSE('Calculation&amp;Summary'!$Q$35,atlantic!C34,bergen!C34,burlington!C34,camden!C34,capemay!C34,cumberland!C34,essex!C34,gloucester!C34,hudson!C34,hunterdon!C34,mercer!C34,middlesex!C34,monmouth!C34,morris!C34,ocean!C34,passaic!C34,salem!C34,somerset!C34,sussex!C34,union!C34,warren!C34)</f>
        <v>0.33029999999999998</v>
      </c>
      <c r="G34" s="77">
        <f>CHOOSE('Calculation&amp;Summary'!$Q$35,atlantic!D34,bergen!D34,burlington!D34,camden!D34,capemay!D34,cumberland!D34,essex!D34,gloucester!D34,hudson!D34,hunterdon!D34,mercer!D34,middlesex!D34,monmouth!D34,morris!D34,ocean!D34,passaic!D34,salem!D34,somerset!D34,sussex!D34,union!D34,warren!D34)</f>
        <v>9.891</v>
      </c>
      <c r="H34" s="77">
        <f>CHOOSE('Calculation&amp;Summary'!$Q$35,atlantic!E34,bergen!E34,burlington!E34,camden!E34,capemay!E34,cumberland!E34,essex!E34,gloucester!E34,hudson!E34,hunterdon!E34,mercer!E34,middlesex!E34,monmouth!E34,morris!E34,ocean!E34,passaic!E34,salem!E34,somerset!E34,sussex!E34,union!E34,warren!E34)</f>
        <v>0.93720000000000003</v>
      </c>
      <c r="I34" s="77">
        <f>CHOOSE('Calculation&amp;Summary'!$Q$35,atlantic!F34,bergen!F34,burlington!F34,camden!F34,capemay!F34,cumberland!F34,essex!F34,gloucester!F34,hudson!F34,hunterdon!F34,mercer!F34,middlesex!F34,monmouth!F34,morris!F34,ocean!F34,passaic!F34,salem!F34,somerset!F34,sussex!F34,union!F34,warren!F34)</f>
        <v>1.2605</v>
      </c>
      <c r="J34" s="77">
        <f>CHOOSE('Calculation&amp;Summary'!$Q$35,atlantic!G34,bergen!G34,burlington!G34,camden!G34,capemay!G34,cumberland!G34,essex!G34,gloucester!G34,hudson!G34,hunterdon!G34,mercer!G34,middlesex!G34,monmouth!G34,morris!G34,ocean!G34,passaic!G34,salem!G34,somerset!G34,sussex!G34,union!G34,warren!G34)</f>
        <v>1.2161</v>
      </c>
      <c r="K34" s="65">
        <f t="shared" si="7"/>
        <v>989.1</v>
      </c>
      <c r="L34" s="65">
        <f t="shared" si="8"/>
        <v>813.3377189375874</v>
      </c>
      <c r="M34" s="147">
        <f t="shared" si="9"/>
        <v>33.03</v>
      </c>
      <c r="N34" s="237">
        <f t="shared" si="10"/>
        <v>26.203887346291157</v>
      </c>
      <c r="O34" s="236">
        <f t="shared" si="11"/>
        <v>32217.72055588381</v>
      </c>
      <c r="P34" s="101" t="s">
        <v>1671</v>
      </c>
      <c r="Q34" s="102"/>
      <c r="R34" s="629"/>
      <c r="S34" s="646"/>
      <c r="T34" s="617"/>
      <c r="U34" s="617"/>
      <c r="V34" s="617"/>
      <c r="AF34" s="70"/>
      <c r="AG34" s="218" t="s">
        <v>1243</v>
      </c>
      <c r="AH34" s="210"/>
      <c r="AI34" s="211"/>
      <c r="AJ34" s="185"/>
      <c r="BJ34" s="71"/>
      <c r="BS34" s="71"/>
      <c r="CB34" s="71"/>
      <c r="CK34" s="71"/>
      <c r="CT34" s="71"/>
      <c r="DC34" s="71"/>
    </row>
    <row r="35" spans="1:110" ht="26.4" thickBot="1">
      <c r="A35" s="64" t="str">
        <f t="shared" si="5"/>
        <v>34. Pipeline transportation</v>
      </c>
      <c r="B35" s="64">
        <f t="shared" si="6"/>
        <v>34</v>
      </c>
      <c r="C35" s="64">
        <f t="shared" si="12"/>
        <v>34</v>
      </c>
      <c r="D35" s="181" t="s">
        <v>1635</v>
      </c>
      <c r="E35" s="77">
        <f>CHOOSE('Calculation&amp;Summary'!$Q$35,atlantic!B35,bergen!B35,burlington!B35,camden!B35,capemay!B35,cumberland!B35,essex!B35,gloucester!B35,hudson!B35,hunterdon!B35,mercer!B35,middlesex!B35,monmouth!B35,morris!B35,ocean!B35,passaic!B35,salem!B35,somerset!B35,sussex!B35,union!B35,warren!B35)</f>
        <v>1</v>
      </c>
      <c r="F35" s="77">
        <f>CHOOSE('Calculation&amp;Summary'!$Q$35,atlantic!C35,bergen!C35,burlington!C35,camden!C35,capemay!C35,cumberland!C35,essex!C35,gloucester!C35,hudson!C35,hunterdon!C35,mercer!C35,middlesex!C35,monmouth!C35,morris!C35,ocean!C35,passaic!C35,salem!C35,somerset!C35,sussex!C35,union!C35,warren!C35)</f>
        <v>0</v>
      </c>
      <c r="G35" s="77">
        <f>CHOOSE('Calculation&amp;Summary'!$Q$35,atlantic!D35,bergen!D35,burlington!D35,camden!D35,capemay!D35,cumberland!D35,essex!D35,gloucester!D35,hudson!D35,hunterdon!D35,mercer!D35,middlesex!D35,monmouth!D35,morris!D35,ocean!D35,passaic!D35,salem!D35,somerset!D35,sussex!D35,union!D35,warren!D35)</f>
        <v>0</v>
      </c>
      <c r="H35" s="77">
        <f>CHOOSE('Calculation&amp;Summary'!$Q$35,atlantic!E35,bergen!E35,burlington!E35,camden!E35,capemay!E35,cumberland!E35,essex!E35,gloucester!E35,hudson!E35,hunterdon!E35,mercer!E35,middlesex!E35,monmouth!E35,morris!E35,ocean!E35,passaic!E35,salem!E35,somerset!E35,sussex!E35,union!E35,warren!E35)</f>
        <v>0</v>
      </c>
      <c r="I35" s="77">
        <f>CHOOSE('Calculation&amp;Summary'!$Q$35,atlantic!F35,bergen!F35,burlington!F35,camden!F35,capemay!F35,cumberland!F35,essex!F35,gloucester!F35,hudson!F35,hunterdon!F35,mercer!F35,middlesex!F35,monmouth!F35,morris!F35,ocean!F35,passaic!F35,salem!F35,somerset!F35,sussex!F35,union!F35,warren!F35)</f>
        <v>0</v>
      </c>
      <c r="J35" s="77">
        <f>CHOOSE('Calculation&amp;Summary'!$Q$35,atlantic!G35,bergen!G35,burlington!G35,camden!G35,capemay!G35,cumberland!G35,essex!G35,gloucester!G35,hudson!G35,hunterdon!G35,mercer!G35,middlesex!G35,monmouth!G35,morris!G35,ocean!G35,passaic!G35,salem!G35,somerset!G35,sussex!G35,union!G35,warren!G35)</f>
        <v>0</v>
      </c>
      <c r="K35" s="65">
        <f t="shared" ref="K35:K61" si="26">100*G35</f>
        <v>0</v>
      </c>
      <c r="L35" s="65" t="e">
        <f t="shared" ref="L35:L61" si="27">K35/J35</f>
        <v>#DIV/0!</v>
      </c>
      <c r="M35" s="147">
        <f t="shared" ref="M35:M61" si="28">100*F35</f>
        <v>0</v>
      </c>
      <c r="N35" s="237" t="e">
        <f t="shared" ref="N35:N61" si="29">M35/I35</f>
        <v>#DIV/0!</v>
      </c>
      <c r="O35" s="236" t="e">
        <f t="shared" ref="O35:O61" si="30">(N35/L35)*1000000</f>
        <v>#DIV/0!</v>
      </c>
      <c r="P35" s="194" t="s">
        <v>1292</v>
      </c>
      <c r="Q35" s="196">
        <f>VLOOKUP($Q$37,BI39:BJ59,2)</f>
        <v>4</v>
      </c>
      <c r="R35" s="54"/>
      <c r="S35" s="647"/>
      <c r="T35" s="618"/>
      <c r="U35" s="618"/>
      <c r="V35" s="618"/>
      <c r="W35" s="66"/>
      <c r="AF35" s="70"/>
      <c r="AG35" s="219">
        <f>IF(Q6=C29,1,IF(S6=C29,1,IF(U6=C29,1,0)))</f>
        <v>0</v>
      </c>
      <c r="AH35" s="214">
        <v>250</v>
      </c>
      <c r="AI35" s="213"/>
      <c r="AJ35" s="185"/>
      <c r="AK35" s="65">
        <f>AH35*30000</f>
        <v>7500000</v>
      </c>
      <c r="BJ35" s="71"/>
      <c r="BM35" s="71"/>
      <c r="BS35" s="71"/>
      <c r="BV35" s="71"/>
      <c r="CB35" s="71"/>
      <c r="CE35" s="71"/>
      <c r="CK35" s="71"/>
      <c r="CN35" s="71"/>
      <c r="CT35" s="71"/>
      <c r="CW35" s="71"/>
      <c r="DC35" s="71"/>
      <c r="DF35" s="71"/>
    </row>
    <row r="36" spans="1:110" ht="26.4" thickBot="1">
      <c r="A36" s="64" t="str">
        <f t="shared" si="5"/>
        <v>35. Other transportation and support activities*</v>
      </c>
      <c r="B36" s="64">
        <f t="shared" si="6"/>
        <v>35</v>
      </c>
      <c r="C36" s="64">
        <f t="shared" si="12"/>
        <v>35</v>
      </c>
      <c r="D36" s="181" t="s">
        <v>1636</v>
      </c>
      <c r="E36" s="77">
        <f>CHOOSE('Calculation&amp;Summary'!$Q$35,atlantic!B36,bergen!B36,burlington!B36,camden!B36,capemay!B36,cumberland!B36,essex!B36,gloucester!B36,hudson!B36,hunterdon!B36,mercer!B36,middlesex!B36,monmouth!B36,morris!B36,ocean!B36,passaic!B36,salem!B36,somerset!B36,sussex!B36,union!B36,warren!B36)</f>
        <v>1.4463999999999999</v>
      </c>
      <c r="F36" s="77">
        <f>CHOOSE('Calculation&amp;Summary'!$Q$35,atlantic!C36,bergen!C36,burlington!C36,camden!C36,capemay!C36,cumberland!C36,essex!C36,gloucester!C36,hudson!C36,hunterdon!C36,mercer!C36,middlesex!C36,monmouth!C36,morris!C36,ocean!C36,passaic!C36,salem!C36,somerset!C36,sussex!C36,union!C36,warren!C36)</f>
        <v>0.33019999999999999</v>
      </c>
      <c r="G36" s="77">
        <f>CHOOSE('Calculation&amp;Summary'!$Q$35,atlantic!D36,bergen!D36,burlington!D36,camden!D36,capemay!D36,cumberland!D36,essex!D36,gloucester!D36,hudson!D36,hunterdon!D36,mercer!D36,middlesex!D36,monmouth!D36,morris!D36,ocean!D36,passaic!D36,salem!D36,somerset!D36,sussex!D36,union!D36,warren!D36)</f>
        <v>7.2373000000000003</v>
      </c>
      <c r="H36" s="77">
        <f>CHOOSE('Calculation&amp;Summary'!$Q$35,atlantic!E36,bergen!E36,burlington!E36,camden!E36,capemay!E36,cumberland!E36,essex!E36,gloucester!E36,hudson!E36,hunterdon!E36,mercer!E36,middlesex!E36,monmouth!E36,morris!E36,ocean!E36,passaic!E36,salem!E36,somerset!E36,sussex!E36,union!E36,warren!E36)</f>
        <v>0.97019999999999995</v>
      </c>
      <c r="I36" s="77">
        <f>CHOOSE('Calculation&amp;Summary'!$Q$35,atlantic!F36,bergen!F36,burlington!F36,camden!F36,capemay!F36,cumberland!F36,essex!F36,gloucester!F36,hudson!F36,hunterdon!F36,mercer!F36,middlesex!F36,monmouth!F36,morris!F36,ocean!F36,passaic!F36,salem!F36,somerset!F36,sussex!F36,union!F36,warren!F36)</f>
        <v>1.3378000000000001</v>
      </c>
      <c r="J36" s="77">
        <f>CHOOSE('Calculation&amp;Summary'!$Q$35,atlantic!G36,bergen!G36,burlington!G36,camden!G36,capemay!G36,cumberland!G36,essex!G36,gloucester!G36,hudson!G36,hunterdon!G36,mercer!G36,middlesex!G36,monmouth!G36,morris!G36,ocean!G36,passaic!G36,salem!G36,somerset!G36,sussex!G36,union!G36,warren!G36)</f>
        <v>1.431</v>
      </c>
      <c r="K36" s="65">
        <f t="shared" si="26"/>
        <v>723.73</v>
      </c>
      <c r="L36" s="65">
        <f t="shared" si="27"/>
        <v>505.75122292103424</v>
      </c>
      <c r="M36" s="147">
        <f t="shared" si="28"/>
        <v>33.019999999999996</v>
      </c>
      <c r="N36" s="237">
        <f t="shared" si="29"/>
        <v>24.682314247271634</v>
      </c>
      <c r="O36" s="236">
        <f t="shared" si="30"/>
        <v>48803.271507116893</v>
      </c>
      <c r="P36" s="34" t="s">
        <v>1450</v>
      </c>
      <c r="Q36" s="195" t="str">
        <f>Assumptions!E8</f>
        <v>Camden City</v>
      </c>
      <c r="R36" s="54"/>
      <c r="S36" s="647"/>
      <c r="T36" s="618"/>
      <c r="U36" s="618"/>
      <c r="V36" s="618"/>
      <c r="W36" s="66"/>
      <c r="AF36" s="70"/>
      <c r="AG36" s="220">
        <f>IF(Q6=C29,Q10*AH35,IF(S6=C29,S10*AH35,IF(U6=C29,U10*AH35,0)))</f>
        <v>0</v>
      </c>
      <c r="AH36" s="221" t="str">
        <f>CONCATENATE("Sales @",AH35,"psf")</f>
        <v>Sales @250psf</v>
      </c>
      <c r="AI36" s="222"/>
      <c r="AJ36" s="185"/>
      <c r="BJ36" s="71"/>
      <c r="BS36" s="71"/>
      <c r="CB36" s="71"/>
      <c r="CK36" s="71"/>
      <c r="CT36" s="71"/>
      <c r="DC36" s="71"/>
    </row>
    <row r="37" spans="1:110">
      <c r="A37" s="64" t="str">
        <f t="shared" si="5"/>
        <v>36. Warehousing and storage</v>
      </c>
      <c r="B37" s="64">
        <f t="shared" si="6"/>
        <v>36</v>
      </c>
      <c r="C37" s="64">
        <f t="shared" si="12"/>
        <v>36</v>
      </c>
      <c r="D37" s="181" t="s">
        <v>1637</v>
      </c>
      <c r="E37" s="77">
        <f>CHOOSE('Calculation&amp;Summary'!$Q$35,atlantic!B37,bergen!B37,burlington!B37,camden!B37,capemay!B37,cumberland!B37,essex!B37,gloucester!B37,hudson!B37,hunterdon!B37,mercer!B37,middlesex!B37,monmouth!B37,morris!B37,ocean!B37,passaic!B37,salem!B37,somerset!B37,sussex!B37,union!B37,warren!B37)</f>
        <v>1.5174000000000001</v>
      </c>
      <c r="F37" s="77">
        <f>CHOOSE('Calculation&amp;Summary'!$Q$35,atlantic!C37,bergen!C37,burlington!C37,camden!C37,capemay!C37,cumberland!C37,essex!C37,gloucester!C37,hudson!C37,hunterdon!C37,mercer!C37,middlesex!C37,monmouth!C37,morris!C37,ocean!C37,passaic!C37,salem!C37,somerset!C37,sussex!C37,union!C37,warren!C37)</f>
        <v>0.35220000000000001</v>
      </c>
      <c r="G37" s="77">
        <f>CHOOSE('Calculation&amp;Summary'!$Q$35,atlantic!D37,bergen!D37,burlington!D37,camden!D37,capemay!D37,cumberland!D37,essex!D37,gloucester!D37,hudson!D37,hunterdon!D37,mercer!D37,middlesex!D37,monmouth!D37,morris!D37,ocean!D37,passaic!D37,salem!D37,somerset!D37,sussex!D37,union!D37,warren!D37)</f>
        <v>8.8864000000000001</v>
      </c>
      <c r="H37" s="77">
        <f>CHOOSE('Calculation&amp;Summary'!$Q$35,atlantic!E37,bergen!E37,burlington!E37,camden!E37,capemay!E37,cumberland!E37,essex!E37,gloucester!E37,hudson!E37,hunterdon!E37,mercer!E37,middlesex!E37,monmouth!E37,morris!E37,ocean!E37,passaic!E37,salem!E37,somerset!E37,sussex!E37,union!E37,warren!E37)</f>
        <v>1.0561</v>
      </c>
      <c r="I37" s="77">
        <f>CHOOSE('Calculation&amp;Summary'!$Q$35,atlantic!F37,bergen!F37,burlington!F37,camden!F37,capemay!F37,cumberland!F37,essex!F37,gloucester!F37,hudson!F37,hunterdon!F37,mercer!F37,middlesex!F37,monmouth!F37,morris!F37,ocean!F37,passaic!F37,salem!F37,somerset!F37,sussex!F37,union!F37,warren!F37)</f>
        <v>1.37</v>
      </c>
      <c r="J37" s="77">
        <f>CHOOSE('Calculation&amp;Summary'!$Q$35,atlantic!G37,bergen!G37,burlington!G37,camden!G37,capemay!G37,cumberland!G37,essex!G37,gloucester!G37,hudson!G37,hunterdon!G37,mercer!G37,middlesex!G37,monmouth!G37,morris!G37,ocean!G37,passaic!G37,salem!G37,somerset!G37,sussex!G37,union!G37,warren!G37)</f>
        <v>1.3969</v>
      </c>
      <c r="K37" s="65">
        <f t="shared" si="26"/>
        <v>888.64</v>
      </c>
      <c r="L37" s="65">
        <f t="shared" si="27"/>
        <v>636.15147827331953</v>
      </c>
      <c r="M37" s="147">
        <f t="shared" si="28"/>
        <v>35.22</v>
      </c>
      <c r="N37" s="237">
        <f t="shared" si="29"/>
        <v>25.70802919708029</v>
      </c>
      <c r="O37" s="236">
        <f t="shared" si="30"/>
        <v>40411.804538847508</v>
      </c>
      <c r="P37" s="33" t="s">
        <v>34</v>
      </c>
      <c r="Q37" s="461" t="str">
        <f>Assumptions!E9</f>
        <v>Camden</v>
      </c>
      <c r="R37" s="54"/>
      <c r="S37" s="647"/>
      <c r="T37" s="618"/>
      <c r="U37" s="618"/>
      <c r="V37" s="618"/>
      <c r="W37" s="66"/>
      <c r="AF37" s="70"/>
      <c r="AG37" s="215" t="s">
        <v>1268</v>
      </c>
      <c r="AH37" s="212"/>
      <c r="AI37" s="212"/>
      <c r="AJ37" s="185"/>
    </row>
    <row r="38" spans="1:110" ht="26.4" thickBot="1">
      <c r="A38" s="64" t="str">
        <f t="shared" si="5"/>
        <v>37. Publishing industries, except Internet</v>
      </c>
      <c r="B38" s="64">
        <f t="shared" si="6"/>
        <v>37</v>
      </c>
      <c r="C38" s="64">
        <f t="shared" si="12"/>
        <v>37</v>
      </c>
      <c r="D38" s="181" t="s">
        <v>1638</v>
      </c>
      <c r="E38" s="77">
        <f>CHOOSE('Calculation&amp;Summary'!$Q$35,atlantic!B38,bergen!B38,burlington!B38,camden!B38,capemay!B38,cumberland!B38,essex!B38,gloucester!B38,hudson!B38,hunterdon!B38,mercer!B38,middlesex!B38,monmouth!B38,morris!B38,ocean!B38,passaic!B38,salem!B38,somerset!B38,sussex!B38,union!B38,warren!B38)</f>
        <v>1.6284000000000001</v>
      </c>
      <c r="F38" s="77">
        <f>CHOOSE('Calculation&amp;Summary'!$Q$35,atlantic!C38,bergen!C38,burlington!C38,camden!C38,capemay!C38,cumberland!C38,essex!C38,gloucester!C38,hudson!C38,hunterdon!C38,mercer!C38,middlesex!C38,monmouth!C38,morris!C38,ocean!C38,passaic!C38,salem!C38,somerset!C38,sussex!C38,union!C38,warren!C38)</f>
        <v>0.29010000000000002</v>
      </c>
      <c r="G38" s="77">
        <f>CHOOSE('Calculation&amp;Summary'!$Q$35,atlantic!D38,bergen!D38,burlington!D38,camden!D38,capemay!D38,cumberland!D38,essex!D38,gloucester!D38,hudson!D38,hunterdon!D38,mercer!D38,middlesex!D38,monmouth!D38,morris!D38,ocean!D38,passaic!D38,salem!D38,somerset!D38,sussex!D38,union!D38,warren!D38)</f>
        <v>5.6154999999999999</v>
      </c>
      <c r="H38" s="77">
        <f>CHOOSE('Calculation&amp;Summary'!$Q$35,atlantic!E38,bergen!E38,burlington!E38,camden!E38,capemay!E38,cumberland!E38,essex!E38,gloucester!E38,hudson!E38,hunterdon!E38,mercer!E38,middlesex!E38,monmouth!E38,morris!E38,ocean!E38,passaic!E38,salem!E38,somerset!E38,sussex!E38,union!E38,warren!E38)</f>
        <v>0.84760000000000002</v>
      </c>
      <c r="I38" s="77">
        <f>CHOOSE('Calculation&amp;Summary'!$Q$35,atlantic!F38,bergen!F38,burlington!F38,camden!F38,capemay!F38,cumberland!F38,essex!F38,gloucester!F38,hudson!F38,hunterdon!F38,mercer!F38,middlesex!F38,monmouth!F38,morris!F38,ocean!F38,passaic!F38,salem!F38,somerset!F38,sussex!F38,union!F38,warren!F38)</f>
        <v>1.6439999999999999</v>
      </c>
      <c r="J38" s="77">
        <f>CHOOSE('Calculation&amp;Summary'!$Q$35,atlantic!G38,bergen!G38,burlington!G38,camden!G38,capemay!G38,cumberland!G38,essex!G38,gloucester!G38,hudson!G38,hunterdon!G38,mercer!G38,middlesex!G38,monmouth!G38,morris!G38,ocean!G38,passaic!G38,salem!G38,somerset!G38,sussex!G38,union!G38,warren!G38)</f>
        <v>1.9302999999999999</v>
      </c>
      <c r="K38" s="65">
        <f t="shared" si="26"/>
        <v>561.54999999999995</v>
      </c>
      <c r="L38" s="65">
        <f t="shared" si="27"/>
        <v>290.91332953426928</v>
      </c>
      <c r="M38" s="147">
        <f t="shared" si="28"/>
        <v>29.01</v>
      </c>
      <c r="N38" s="237">
        <f t="shared" si="29"/>
        <v>17.645985401459857</v>
      </c>
      <c r="O38" s="236">
        <f t="shared" si="30"/>
        <v>60657.191025621869</v>
      </c>
      <c r="P38" s="33" t="s">
        <v>1262</v>
      </c>
      <c r="Q38" s="563">
        <f>SUM(AE9:AE30)+SUM(AH9:AH30)+SUM(AM9:AM30)+SUM(AP9:AP30)+SUM(AU9:AU30)+SUM(AX9:AX30)</f>
        <v>250</v>
      </c>
      <c r="R38" s="54"/>
      <c r="S38" s="647"/>
      <c r="T38" s="618"/>
      <c r="U38" s="618"/>
      <c r="V38" s="618"/>
      <c r="AE38" s="73"/>
      <c r="AF38" s="70"/>
      <c r="AG38" s="216" t="s">
        <v>1294</v>
      </c>
      <c r="AH38" s="217"/>
      <c r="AI38" s="217"/>
      <c r="AJ38" s="185"/>
      <c r="BH38" s="21" t="s">
        <v>28</v>
      </c>
      <c r="BI38" s="8"/>
    </row>
    <row r="39" spans="1:110" ht="26.4" thickBot="1">
      <c r="A39" s="64" t="str">
        <f t="shared" si="5"/>
        <v>38. Motion picture and sound recording industries</v>
      </c>
      <c r="B39" s="64">
        <f t="shared" si="6"/>
        <v>38</v>
      </c>
      <c r="C39" s="64">
        <f t="shared" si="12"/>
        <v>38</v>
      </c>
      <c r="D39" s="181" t="s">
        <v>1639</v>
      </c>
      <c r="E39" s="77">
        <f>CHOOSE('Calculation&amp;Summary'!$Q$35,atlantic!B39,bergen!B39,burlington!B39,camden!B39,capemay!B39,cumberland!B39,essex!B39,gloucester!B39,hudson!B39,hunterdon!B39,mercer!B39,middlesex!B39,monmouth!B39,morris!B39,ocean!B39,passaic!B39,salem!B39,somerset!B39,sussex!B39,union!B39,warren!B39)</f>
        <v>1.4854000000000001</v>
      </c>
      <c r="F39" s="77">
        <f>CHOOSE('Calculation&amp;Summary'!$Q$35,atlantic!C39,bergen!C39,burlington!C39,camden!C39,capemay!C39,cumberland!C39,essex!C39,gloucester!C39,hudson!C39,hunterdon!C39,mercer!C39,middlesex!C39,monmouth!C39,morris!C39,ocean!C39,passaic!C39,salem!C39,somerset!C39,sussex!C39,union!C39,warren!C39)</f>
        <v>0.26979999999999998</v>
      </c>
      <c r="G39" s="77">
        <f>CHOOSE('Calculation&amp;Summary'!$Q$35,atlantic!D39,bergen!D39,burlington!D39,camden!D39,capemay!D39,cumberland!D39,essex!D39,gloucester!D39,hudson!D39,hunterdon!D39,mercer!D39,middlesex!D39,monmouth!D39,morris!D39,ocean!D39,passaic!D39,salem!D39,somerset!D39,sussex!D39,union!D39,warren!D39)</f>
        <v>6.9432999999999998</v>
      </c>
      <c r="H39" s="77">
        <f>CHOOSE('Calculation&amp;Summary'!$Q$35,atlantic!E39,bergen!E39,burlington!E39,camden!E39,capemay!E39,cumberland!E39,essex!E39,gloucester!E39,hudson!E39,hunterdon!E39,mercer!E39,middlesex!E39,monmouth!E39,morris!E39,ocean!E39,passaic!E39,salem!E39,somerset!E39,sussex!E39,union!E39,warren!E39)</f>
        <v>0.87619999999999998</v>
      </c>
      <c r="I39" s="77">
        <f>CHOOSE('Calculation&amp;Summary'!$Q$35,atlantic!F39,bergen!F39,burlington!F39,camden!F39,capemay!F39,cumberland!F39,essex!F39,gloucester!F39,hudson!F39,hunterdon!F39,mercer!F39,middlesex!F39,monmouth!F39,morris!F39,ocean!F39,passaic!F39,salem!F39,somerset!F39,sussex!F39,union!F39,warren!F39)</f>
        <v>1.5061</v>
      </c>
      <c r="J39" s="77">
        <f>CHOOSE('Calculation&amp;Summary'!$Q$35,atlantic!G39,bergen!G39,burlington!G39,camden!G39,capemay!G39,cumberland!G39,essex!G39,gloucester!G39,hudson!G39,hunterdon!G39,mercer!G39,middlesex!G39,monmouth!G39,morris!G39,ocean!G39,passaic!G39,salem!G39,somerset!G39,sussex!G39,union!G39,warren!G39)</f>
        <v>1.498</v>
      </c>
      <c r="K39" s="65">
        <f t="shared" si="26"/>
        <v>694.32999999999993</v>
      </c>
      <c r="L39" s="65">
        <f t="shared" si="27"/>
        <v>463.5046728971962</v>
      </c>
      <c r="M39" s="147">
        <f t="shared" si="28"/>
        <v>26.979999999999997</v>
      </c>
      <c r="N39" s="237">
        <f t="shared" si="29"/>
        <v>17.913817143615958</v>
      </c>
      <c r="O39" s="236">
        <f t="shared" si="30"/>
        <v>38648.62252982978</v>
      </c>
      <c r="P39" s="35" t="s">
        <v>1263</v>
      </c>
      <c r="Q39" s="562">
        <f>(Q76)/67000</f>
        <v>1180.3597910447761</v>
      </c>
      <c r="R39" s="151"/>
      <c r="S39" s="647"/>
      <c r="T39" s="618"/>
      <c r="U39" s="618"/>
      <c r="V39" s="618"/>
      <c r="AF39" s="70"/>
      <c r="AG39" s="185"/>
      <c r="AH39" s="185"/>
      <c r="AI39" s="185"/>
      <c r="AJ39" s="185"/>
      <c r="BH39" s="2">
        <v>1</v>
      </c>
      <c r="BI39" s="3" t="s">
        <v>7</v>
      </c>
      <c r="BJ39" s="65">
        <v>1</v>
      </c>
    </row>
    <row r="40" spans="1:110" ht="26.4" thickBot="1">
      <c r="A40" s="64" t="str">
        <f t="shared" si="5"/>
        <v>39. Broadcasting, except Internet</v>
      </c>
      <c r="B40" s="64">
        <f t="shared" si="6"/>
        <v>39</v>
      </c>
      <c r="C40" s="64">
        <f t="shared" si="12"/>
        <v>39</v>
      </c>
      <c r="D40" s="181" t="s">
        <v>1640</v>
      </c>
      <c r="E40" s="77">
        <f>CHOOSE('Calculation&amp;Summary'!$Q$35,atlantic!B40,bergen!B40,burlington!B40,camden!B40,capemay!B40,cumberland!B40,essex!B40,gloucester!B40,hudson!B40,hunterdon!B40,mercer!B40,middlesex!B40,monmouth!B40,morris!B40,ocean!B40,passaic!B40,salem!B40,somerset!B40,sussex!B40,union!B40,warren!B40)</f>
        <v>1.3939999999999999</v>
      </c>
      <c r="F40" s="77">
        <f>CHOOSE('Calculation&amp;Summary'!$Q$35,atlantic!C40,bergen!C40,burlington!C40,camden!C40,capemay!C40,cumberland!C40,essex!C40,gloucester!C40,hudson!C40,hunterdon!C40,mercer!C40,middlesex!C40,monmouth!C40,morris!C40,ocean!C40,passaic!C40,salem!C40,somerset!C40,sussex!C40,union!C40,warren!C40)</f>
        <v>0.25330000000000003</v>
      </c>
      <c r="G40" s="77">
        <f>CHOOSE('Calculation&amp;Summary'!$Q$35,atlantic!D40,bergen!D40,burlington!D40,camden!D40,capemay!D40,cumberland!D40,essex!D40,gloucester!D40,hudson!D40,hunterdon!D40,mercer!D40,middlesex!D40,monmouth!D40,morris!D40,ocean!D40,passaic!D40,salem!D40,somerset!D40,sussex!D40,union!D40,warren!D40)</f>
        <v>4.0242000000000004</v>
      </c>
      <c r="H40" s="77">
        <f>CHOOSE('Calculation&amp;Summary'!$Q$35,atlantic!E40,bergen!E40,burlington!E40,camden!E40,capemay!E40,cumberland!E40,essex!E40,gloucester!E40,hudson!E40,hunterdon!E40,mercer!E40,middlesex!E40,monmouth!E40,morris!E40,ocean!E40,passaic!E40,salem!E40,somerset!E40,sussex!E40,union!E40,warren!E40)</f>
        <v>0.61409999999999998</v>
      </c>
      <c r="I40" s="77">
        <f>CHOOSE('Calculation&amp;Summary'!$Q$35,atlantic!F40,bergen!F40,burlington!F40,camden!F40,capemay!F40,cumberland!F40,essex!F40,gloucester!F40,hudson!F40,hunterdon!F40,mercer!F40,middlesex!F40,monmouth!F40,morris!F40,ocean!F40,passaic!F40,salem!F40,somerset!F40,sussex!F40,union!F40,warren!F40)</f>
        <v>1.4782</v>
      </c>
      <c r="J40" s="77">
        <f>CHOOSE('Calculation&amp;Summary'!$Q$35,atlantic!G40,bergen!G40,burlington!G40,camden!G40,capemay!G40,cumberland!G40,essex!G40,gloucester!G40,hudson!G40,hunterdon!G40,mercer!G40,middlesex!G40,monmouth!G40,morris!G40,ocean!G40,passaic!G40,salem!G40,somerset!G40,sussex!G40,union!G40,warren!G40)</f>
        <v>2.4965999999999999</v>
      </c>
      <c r="K40" s="65">
        <f t="shared" si="26"/>
        <v>402.42000000000007</v>
      </c>
      <c r="L40" s="65">
        <f t="shared" si="27"/>
        <v>161.18721461187218</v>
      </c>
      <c r="M40" s="147">
        <f t="shared" si="28"/>
        <v>25.330000000000002</v>
      </c>
      <c r="N40" s="237">
        <f t="shared" si="29"/>
        <v>17.135705587877151</v>
      </c>
      <c r="O40" s="236">
        <f t="shared" si="30"/>
        <v>106309.33495028598</v>
      </c>
      <c r="P40" s="153"/>
      <c r="Q40" s="151"/>
      <c r="R40" s="54"/>
      <c r="S40" s="647"/>
      <c r="T40" s="618"/>
      <c r="U40" s="618"/>
      <c r="V40" s="618"/>
      <c r="X40" s="71"/>
      <c r="AF40" s="567"/>
      <c r="BH40" s="4">
        <f>BH39+1</f>
        <v>2</v>
      </c>
      <c r="BI40" s="5" t="s">
        <v>8</v>
      </c>
      <c r="BJ40" s="65">
        <f>BJ39+1</f>
        <v>2</v>
      </c>
    </row>
    <row r="41" spans="1:110" ht="26.4" thickBot="1">
      <c r="A41" s="64" t="str">
        <f t="shared" si="5"/>
        <v>40. Telecommunications</v>
      </c>
      <c r="B41" s="64">
        <f t="shared" si="6"/>
        <v>40</v>
      </c>
      <c r="C41" s="64">
        <f t="shared" si="12"/>
        <v>40</v>
      </c>
      <c r="D41" s="181" t="s">
        <v>1641</v>
      </c>
      <c r="E41" s="77">
        <f>CHOOSE('Calculation&amp;Summary'!$Q$35,atlantic!B41,bergen!B41,burlington!B41,camden!B41,capemay!B41,cumberland!B41,essex!B41,gloucester!B41,hudson!B41,hunterdon!B41,mercer!B41,middlesex!B41,monmouth!B41,morris!B41,ocean!B41,passaic!B41,salem!B41,somerset!B41,sussex!B41,union!B41,warren!B41)</f>
        <v>1.4557</v>
      </c>
      <c r="F41" s="77">
        <f>CHOOSE('Calculation&amp;Summary'!$Q$35,atlantic!C41,bergen!C41,burlington!C41,camden!C41,capemay!C41,cumberland!C41,essex!C41,gloucester!C41,hudson!C41,hunterdon!C41,mercer!C41,middlesex!C41,monmouth!C41,morris!C41,ocean!C41,passaic!C41,salem!C41,somerset!C41,sussex!C41,union!C41,warren!C41)</f>
        <v>0.15570000000000001</v>
      </c>
      <c r="G41" s="77">
        <f>CHOOSE('Calculation&amp;Summary'!$Q$35,atlantic!D41,bergen!D41,burlington!D41,camden!D41,capemay!D41,cumberland!D41,essex!D41,gloucester!D41,hudson!D41,hunterdon!D41,mercer!D41,middlesex!D41,monmouth!D41,morris!D41,ocean!D41,passaic!D41,salem!D41,somerset!D41,sussex!D41,union!D41,warren!D41)</f>
        <v>2.8071999999999999</v>
      </c>
      <c r="H41" s="77">
        <f>CHOOSE('Calculation&amp;Summary'!$Q$35,atlantic!E41,bergen!E41,burlington!E41,camden!E41,capemay!E41,cumberland!E41,essex!E41,gloucester!E41,hudson!E41,hunterdon!E41,mercer!E41,middlesex!E41,monmouth!E41,morris!E41,ocean!E41,passaic!E41,salem!E41,somerset!E41,sussex!E41,union!E41,warren!E41)</f>
        <v>0.84899999999999998</v>
      </c>
      <c r="I41" s="77">
        <f>CHOOSE('Calculation&amp;Summary'!$Q$35,atlantic!F41,bergen!F41,burlington!F41,camden!F41,capemay!F41,cumberland!F41,essex!F41,gloucester!F41,hudson!F41,hunterdon!F41,mercer!F41,middlesex!F41,monmouth!F41,morris!F41,ocean!F41,passaic!F41,salem!F41,somerset!F41,sussex!F41,union!F41,warren!F41)</f>
        <v>1.9699</v>
      </c>
      <c r="J41" s="77">
        <f>CHOOSE('Calculation&amp;Summary'!$Q$35,atlantic!G41,bergen!G41,burlington!G41,camden!G41,capemay!G41,cumberland!G41,essex!G41,gloucester!G41,hudson!G41,hunterdon!G41,mercer!G41,middlesex!G41,monmouth!G41,morris!G41,ocean!G41,passaic!G41,salem!G41,somerset!G41,sussex!G41,union!G41,warren!G41)</f>
        <v>2.6311</v>
      </c>
      <c r="K41" s="65">
        <f t="shared" si="26"/>
        <v>280.71999999999997</v>
      </c>
      <c r="L41" s="65">
        <f t="shared" si="27"/>
        <v>106.69301812929952</v>
      </c>
      <c r="M41" s="147">
        <f t="shared" si="28"/>
        <v>15.57</v>
      </c>
      <c r="N41" s="237">
        <f t="shared" si="29"/>
        <v>7.9039545154576381</v>
      </c>
      <c r="O41" s="236">
        <f t="shared" si="30"/>
        <v>74081.272177331848</v>
      </c>
      <c r="P41" s="55" t="s">
        <v>1332</v>
      </c>
      <c r="Q41" s="505" t="str">
        <f>Assumptions!E64</f>
        <v>Technology</v>
      </c>
      <c r="R41" s="54" t="s">
        <v>1293</v>
      </c>
      <c r="S41" s="647"/>
      <c r="T41" s="618"/>
      <c r="U41" s="618"/>
      <c r="V41" s="618"/>
      <c r="W41" s="512"/>
      <c r="X41" s="513"/>
      <c r="Y41" s="512"/>
      <c r="Z41" s="512"/>
      <c r="AA41" s="512"/>
      <c r="AB41" s="512"/>
      <c r="AC41" s="512"/>
      <c r="AD41" s="512"/>
      <c r="AE41" s="512"/>
      <c r="AF41" s="70"/>
      <c r="BH41" s="4">
        <f t="shared" ref="BH41:BH59" si="31">BH40+1</f>
        <v>3</v>
      </c>
      <c r="BI41" s="5" t="s">
        <v>9</v>
      </c>
      <c r="BJ41" s="65">
        <f t="shared" ref="BJ41:BJ59" si="32">BJ40+1</f>
        <v>3</v>
      </c>
    </row>
    <row r="42" spans="1:110">
      <c r="A42" s="64" t="str">
        <f t="shared" si="5"/>
        <v>41. Internet and other information services</v>
      </c>
      <c r="B42" s="64">
        <f t="shared" si="6"/>
        <v>41</v>
      </c>
      <c r="C42" s="64">
        <f t="shared" si="12"/>
        <v>41</v>
      </c>
      <c r="D42" s="181" t="s">
        <v>1642</v>
      </c>
      <c r="E42" s="77">
        <f>CHOOSE('Calculation&amp;Summary'!$Q$35,atlantic!B42,bergen!B42,burlington!B42,camden!B42,capemay!B42,cumberland!B42,essex!B42,gloucester!B42,hudson!B42,hunterdon!B42,mercer!B42,middlesex!B42,monmouth!B42,morris!B42,ocean!B42,passaic!B42,salem!B42,somerset!B42,sussex!B42,union!B42,warren!B42)</f>
        <v>1.5926</v>
      </c>
      <c r="F42" s="77">
        <f>CHOOSE('Calculation&amp;Summary'!$Q$35,atlantic!C42,bergen!C42,burlington!C42,camden!C42,capemay!C42,cumberland!C42,essex!C42,gloucester!C42,hudson!C42,hunterdon!C42,mercer!C42,middlesex!C42,monmouth!C42,morris!C42,ocean!C42,passaic!C42,salem!C42,somerset!C42,sussex!C42,union!C42,warren!C42)</f>
        <v>0.1953</v>
      </c>
      <c r="G42" s="77">
        <f>CHOOSE('Calculation&amp;Summary'!$Q$35,atlantic!D42,bergen!D42,burlington!D42,camden!D42,capemay!D42,cumberland!D42,essex!D42,gloucester!D42,hudson!D42,hunterdon!D42,mercer!D42,middlesex!D42,monmouth!D42,morris!D42,ocean!D42,passaic!D42,salem!D42,somerset!D42,sussex!D42,union!D42,warren!D42)</f>
        <v>3.7480000000000002</v>
      </c>
      <c r="H42" s="77">
        <f>CHOOSE('Calculation&amp;Summary'!$Q$35,atlantic!E42,bergen!E42,burlington!E42,camden!E42,capemay!E42,cumberland!E42,essex!E42,gloucester!E42,hudson!E42,hunterdon!E42,mercer!E42,middlesex!E42,monmouth!E42,morris!E42,ocean!E42,passaic!E42,salem!E42,somerset!E42,sussex!E42,union!E42,warren!E42)</f>
        <v>0.84109999999999996</v>
      </c>
      <c r="I42" s="77">
        <f>CHOOSE('Calculation&amp;Summary'!$Q$35,atlantic!F42,bergen!F42,burlington!F42,camden!F42,capemay!F42,cumberland!F42,essex!F42,gloucester!F42,hudson!F42,hunterdon!F42,mercer!F42,middlesex!F42,monmouth!F42,morris!F42,ocean!F42,passaic!F42,salem!F42,somerset!F42,sussex!F42,union!F42,warren!F42)</f>
        <v>2.2383999999999999</v>
      </c>
      <c r="J42" s="77">
        <f>CHOOSE('Calculation&amp;Summary'!$Q$35,atlantic!G42,bergen!G42,burlington!G42,camden!G42,capemay!G42,cumberland!G42,essex!G42,gloucester!G42,hudson!G42,hunterdon!G42,mercer!G42,middlesex!G42,monmouth!G42,morris!G42,ocean!G42,passaic!G42,salem!G42,somerset!G42,sussex!G42,union!G42,warren!G42)</f>
        <v>3.2970000000000002</v>
      </c>
      <c r="K42" s="65">
        <f t="shared" si="26"/>
        <v>374.8</v>
      </c>
      <c r="L42" s="65">
        <f t="shared" si="27"/>
        <v>113.67910221413406</v>
      </c>
      <c r="M42" s="147">
        <f t="shared" si="28"/>
        <v>19.53</v>
      </c>
      <c r="N42" s="237">
        <f t="shared" si="29"/>
        <v>8.7249821300929238</v>
      </c>
      <c r="O42" s="236">
        <f t="shared" si="30"/>
        <v>76750.976742039406</v>
      </c>
      <c r="P42" s="261" t="s">
        <v>32</v>
      </c>
      <c r="Q42" s="548">
        <f>IF(Assumptions!E85="x",Assumptions!E87,IF(AND(Assumptions!E75="x",Assumptions!E78="x"),IF(Q6=C29,AG36,IF(S6=C29,AG36,IF(U6=C29,AG36,0)))*Assumptions!$E$82*(1-Assumptions!$E$80),0))</f>
        <v>0</v>
      </c>
      <c r="R42" s="630" t="s">
        <v>1237</v>
      </c>
      <c r="S42" s="648"/>
      <c r="T42" s="621"/>
      <c r="U42" s="621"/>
      <c r="V42" s="622"/>
      <c r="W42" s="512"/>
      <c r="X42" s="512"/>
      <c r="Y42" s="512"/>
      <c r="Z42" s="512"/>
      <c r="AA42" s="512"/>
      <c r="AB42" s="512"/>
      <c r="AC42" s="512"/>
      <c r="AD42" s="512"/>
      <c r="AE42" s="512"/>
      <c r="AF42" s="70"/>
      <c r="BH42" s="4">
        <f t="shared" si="31"/>
        <v>4</v>
      </c>
      <c r="BI42" s="5" t="s">
        <v>10</v>
      </c>
      <c r="BJ42" s="65">
        <f t="shared" si="32"/>
        <v>4</v>
      </c>
    </row>
    <row r="43" spans="1:110" ht="26.4" thickBot="1">
      <c r="A43" s="64" t="str">
        <f t="shared" si="5"/>
        <v>42. Federal Reserve banks, credit intermediation and related services</v>
      </c>
      <c r="B43" s="64">
        <f t="shared" si="6"/>
        <v>42</v>
      </c>
      <c r="C43" s="64">
        <f t="shared" si="12"/>
        <v>42</v>
      </c>
      <c r="D43" s="181" t="s">
        <v>1643</v>
      </c>
      <c r="E43" s="77">
        <f>CHOOSE('Calculation&amp;Summary'!$Q$35,atlantic!B43,bergen!B43,burlington!B43,camden!B43,capemay!B43,cumberland!B43,essex!B43,gloucester!B43,hudson!B43,hunterdon!B43,mercer!B43,middlesex!B43,monmouth!B43,morris!B43,ocean!B43,passaic!B43,salem!B43,somerset!B43,sussex!B43,union!B43,warren!B43)</f>
        <v>1.4749000000000001</v>
      </c>
      <c r="F43" s="77">
        <f>CHOOSE('Calculation&amp;Summary'!$Q$35,atlantic!C43,bergen!C43,burlington!C43,camden!C43,capemay!C43,cumberland!C43,essex!C43,gloucester!C43,hudson!C43,hunterdon!C43,mercer!C43,middlesex!C43,monmouth!C43,morris!C43,ocean!C43,passaic!C43,salem!C43,somerset!C43,sussex!C43,union!C43,warren!C43)</f>
        <v>0.1643</v>
      </c>
      <c r="G43" s="77">
        <f>CHOOSE('Calculation&amp;Summary'!$Q$35,atlantic!D43,bergen!D43,burlington!D43,camden!D43,capemay!D43,cumberland!D43,essex!D43,gloucester!D43,hudson!D43,hunterdon!D43,mercer!D43,middlesex!D43,monmouth!D43,morris!D43,ocean!D43,passaic!D43,salem!D43,somerset!D43,sussex!D43,union!D43,warren!D43)</f>
        <v>3.2587999999999999</v>
      </c>
      <c r="H43" s="77">
        <f>CHOOSE('Calculation&amp;Summary'!$Q$35,atlantic!E43,bergen!E43,burlington!E43,camden!E43,capemay!E43,cumberland!E43,essex!E43,gloucester!E43,hudson!E43,hunterdon!E43,mercer!E43,middlesex!E43,monmouth!E43,morris!E43,ocean!E43,passaic!E43,salem!E43,somerset!E43,sussex!E43,union!E43,warren!E43)</f>
        <v>0.85509999999999997</v>
      </c>
      <c r="I43" s="77">
        <f>CHOOSE('Calculation&amp;Summary'!$Q$35,atlantic!F43,bergen!F43,burlington!F43,camden!F43,capemay!F43,cumberland!F43,essex!F43,gloucester!F43,hudson!F43,hunterdon!F43,mercer!F43,middlesex!F43,monmouth!F43,morris!F43,ocean!F43,passaic!F43,salem!F43,somerset!F43,sussex!F43,union!F43,warren!F43)</f>
        <v>1.9581999999999999</v>
      </c>
      <c r="J43" s="77">
        <f>CHOOSE('Calculation&amp;Summary'!$Q$35,atlantic!G43,bergen!G43,burlington!G43,camden!G43,capemay!G43,cumberland!G43,essex!G43,gloucester!G43,hudson!G43,hunterdon!G43,mercer!G43,middlesex!G43,monmouth!G43,morris!G43,ocean!G43,passaic!G43,salem!G43,somerset!G43,sussex!G43,union!G43,warren!G43)</f>
        <v>2.3892000000000002</v>
      </c>
      <c r="K43" s="65">
        <f t="shared" si="26"/>
        <v>325.88</v>
      </c>
      <c r="L43" s="65">
        <f t="shared" si="27"/>
        <v>136.3971203750209</v>
      </c>
      <c r="M43" s="147">
        <f t="shared" si="28"/>
        <v>16.43</v>
      </c>
      <c r="N43" s="237">
        <f t="shared" si="29"/>
        <v>8.3903584924931067</v>
      </c>
      <c r="O43" s="236">
        <f t="shared" si="30"/>
        <v>61514.190837929709</v>
      </c>
      <c r="P43" s="252" t="s">
        <v>48</v>
      </c>
      <c r="Q43" s="549">
        <f>IF(Assumptions!$E$75="x",(2/3)*IF(Assumptions!$E$90="x",IF(Assumptions!$E$92&gt;=(AO54*Q38*0.09),(AO54*Q38*0.09),IF(Assumptions!$E$92=0,0,Assumptions!$E$92)),(AO54*Q38*0.09)),IF(Assumptions!$E$90="x",IF(Assumptions!$E$92&gt;=(AO54*Q38*0.09),(AO54*Q38*0.09),IF(Assumptions!$E$92=0,0,Assumptions!$E$92)),(AO54*Q38*0.09)))</f>
        <v>2700000</v>
      </c>
      <c r="R43" s="630" t="s">
        <v>1238</v>
      </c>
      <c r="S43" s="648"/>
      <c r="T43" s="621"/>
      <c r="U43" s="621"/>
      <c r="V43" s="623"/>
      <c r="W43" s="512"/>
      <c r="X43" s="513"/>
      <c r="Y43" s="512"/>
      <c r="Z43" s="512"/>
      <c r="AA43" s="512"/>
      <c r="AB43" s="512"/>
      <c r="AC43" s="512"/>
      <c r="AD43" s="512"/>
      <c r="AE43" s="512"/>
      <c r="AF43" s="70"/>
      <c r="BH43" s="4">
        <f t="shared" si="31"/>
        <v>5</v>
      </c>
      <c r="BI43" s="5" t="s">
        <v>11</v>
      </c>
      <c r="BJ43" s="65">
        <f t="shared" si="32"/>
        <v>5</v>
      </c>
    </row>
    <row r="44" spans="1:110">
      <c r="A44" s="64" t="str">
        <f t="shared" si="5"/>
        <v>43. Securities, commodity contracts, investments</v>
      </c>
      <c r="B44" s="64">
        <f t="shared" si="6"/>
        <v>43</v>
      </c>
      <c r="C44" s="64">
        <f t="shared" si="12"/>
        <v>43</v>
      </c>
      <c r="D44" s="181" t="s">
        <v>1644</v>
      </c>
      <c r="E44" s="77">
        <f>CHOOSE('Calculation&amp;Summary'!$Q$35,atlantic!B44,bergen!B44,burlington!B44,camden!B44,capemay!B44,cumberland!B44,essex!B44,gloucester!B44,hudson!B44,hunterdon!B44,mercer!B44,middlesex!B44,monmouth!B44,morris!B44,ocean!B44,passaic!B44,salem!B44,somerset!B44,sussex!B44,union!B44,warren!B44)</f>
        <v>1.6633</v>
      </c>
      <c r="F44" s="77">
        <f>CHOOSE('Calculation&amp;Summary'!$Q$35,atlantic!C44,bergen!C44,burlington!C44,camden!C44,capemay!C44,cumberland!C44,essex!C44,gloucester!C44,hudson!C44,hunterdon!C44,mercer!C44,middlesex!C44,monmouth!C44,morris!C44,ocean!C44,passaic!C44,salem!C44,somerset!C44,sussex!C44,union!C44,warren!C44)</f>
        <v>0.21920000000000001</v>
      </c>
      <c r="G44" s="77">
        <f>CHOOSE('Calculation&amp;Summary'!$Q$35,atlantic!D44,bergen!D44,burlington!D44,camden!D44,capemay!D44,cumberland!D44,essex!D44,gloucester!D44,hudson!D44,hunterdon!D44,mercer!D44,middlesex!D44,monmouth!D44,morris!D44,ocean!D44,passaic!D44,salem!D44,somerset!D44,sussex!D44,union!D44,warren!D44)</f>
        <v>4.4340000000000002</v>
      </c>
      <c r="H44" s="77">
        <f>CHOOSE('Calculation&amp;Summary'!$Q$35,atlantic!E44,bergen!E44,burlington!E44,camden!E44,capemay!E44,cumberland!E44,essex!E44,gloucester!E44,hudson!E44,hunterdon!E44,mercer!E44,middlesex!E44,monmouth!E44,morris!E44,ocean!E44,passaic!E44,salem!E44,somerset!E44,sussex!E44,union!E44,warren!E44)</f>
        <v>0.76700000000000002</v>
      </c>
      <c r="I44" s="77">
        <f>CHOOSE('Calculation&amp;Summary'!$Q$35,atlantic!F44,bergen!F44,burlington!F44,camden!F44,capemay!F44,cumberland!F44,essex!F44,gloucester!F44,hudson!F44,hunterdon!F44,mercer!F44,middlesex!F44,monmouth!F44,morris!F44,ocean!F44,passaic!F44,salem!F44,somerset!F44,sussex!F44,union!F44,warren!F44)</f>
        <v>2.1040999999999999</v>
      </c>
      <c r="J44" s="77">
        <f>CHOOSE('Calculation&amp;Summary'!$Q$35,atlantic!G44,bergen!G44,burlington!G44,camden!G44,capemay!G44,cumberland!G44,essex!G44,gloucester!G44,hudson!G44,hunterdon!G44,mercer!G44,middlesex!G44,monmouth!G44,morris!G44,ocean!G44,passaic!G44,salem!G44,somerset!G44,sussex!G44,union!G44,warren!G44)</f>
        <v>2.4935</v>
      </c>
      <c r="K44" s="65">
        <f t="shared" si="26"/>
        <v>443.40000000000003</v>
      </c>
      <c r="L44" s="65">
        <f t="shared" si="27"/>
        <v>177.82233807900542</v>
      </c>
      <c r="M44" s="147">
        <f t="shared" si="28"/>
        <v>21.92</v>
      </c>
      <c r="N44" s="237">
        <f t="shared" si="29"/>
        <v>10.417755810085074</v>
      </c>
      <c r="O44" s="236">
        <f t="shared" si="30"/>
        <v>58585.191954098176</v>
      </c>
      <c r="P44" s="252" t="s">
        <v>51</v>
      </c>
      <c r="Q44" s="549">
        <f>IF(Assumptions!$E$75="x",(2/3)*IF(Assumptions!$E$97="x",IF(Assumptions!$E$99&gt;=((Q28+S28+U28)*0.04),((Q28+S28+U28)*0.04),IF(Assumptions!$E$99=0,0,Assumptions!$E$99)),((Q28+S28+U28)*0.04)),IF(Assumptions!$E$97="x",IF(Assumptions!$E$99&gt;=((Q28+S28+U28)*0.04),((Q28+S28+U28)*0.04),IF(Assumptions!$E$99=0,0,Assumptions!$E$99)),((Q28+S28+U28)*0.04)))</f>
        <v>980000</v>
      </c>
      <c r="R44" s="630" t="s">
        <v>1239</v>
      </c>
      <c r="S44" s="648"/>
      <c r="T44" s="621"/>
      <c r="U44" s="621"/>
      <c r="V44" s="622"/>
      <c r="W44" s="512"/>
      <c r="X44" s="512"/>
      <c r="Y44" s="512"/>
      <c r="Z44" s="512"/>
      <c r="AA44" s="512"/>
      <c r="AB44" s="512"/>
      <c r="AC44" s="512"/>
      <c r="AD44" s="512"/>
      <c r="AE44" s="512"/>
      <c r="AF44" s="70"/>
      <c r="AG44" s="116" t="s">
        <v>46</v>
      </c>
      <c r="AH44" s="117"/>
      <c r="AI44" s="117"/>
      <c r="AJ44" s="117"/>
      <c r="AK44" s="117"/>
      <c r="AL44" s="117"/>
      <c r="AM44" s="117"/>
      <c r="AN44" s="117"/>
      <c r="AO44" s="118"/>
      <c r="BH44" s="4">
        <f t="shared" si="31"/>
        <v>6</v>
      </c>
      <c r="BI44" s="5" t="s">
        <v>12</v>
      </c>
      <c r="BJ44" s="65">
        <f t="shared" si="32"/>
        <v>6</v>
      </c>
    </row>
    <row r="45" spans="1:110">
      <c r="A45" s="64" t="str">
        <f t="shared" si="5"/>
        <v>44. Insurance carriers and related activities</v>
      </c>
      <c r="B45" s="64">
        <f t="shared" si="6"/>
        <v>44</v>
      </c>
      <c r="C45" s="64">
        <f t="shared" si="12"/>
        <v>44</v>
      </c>
      <c r="D45" s="181" t="s">
        <v>1645</v>
      </c>
      <c r="E45" s="77">
        <f>CHOOSE('Calculation&amp;Summary'!$Q$35,atlantic!B45,bergen!B45,burlington!B45,camden!B45,capemay!B45,cumberland!B45,essex!B45,gloucester!B45,hudson!B45,hunterdon!B45,mercer!B45,middlesex!B45,monmouth!B45,morris!B45,ocean!B45,passaic!B45,salem!B45,somerset!B45,sussex!B45,union!B45,warren!B45)</f>
        <v>1.6056999999999999</v>
      </c>
      <c r="F45" s="77">
        <f>CHOOSE('Calculation&amp;Summary'!$Q$35,atlantic!C45,bergen!C45,burlington!C45,camden!C45,capemay!C45,cumberland!C45,essex!C45,gloucester!C45,hudson!C45,hunterdon!C45,mercer!C45,middlesex!C45,monmouth!C45,morris!C45,ocean!C45,passaic!C45,salem!C45,somerset!C45,sussex!C45,union!C45,warren!C45)</f>
        <v>0.30509999999999998</v>
      </c>
      <c r="G45" s="77">
        <f>CHOOSE('Calculation&amp;Summary'!$Q$35,atlantic!D45,bergen!D45,burlington!D45,camden!D45,capemay!D45,cumberland!D45,essex!D45,gloucester!D45,hudson!D45,hunterdon!D45,mercer!D45,middlesex!D45,monmouth!D45,morris!D45,ocean!D45,passaic!D45,salem!D45,somerset!D45,sussex!D45,union!D45,warren!D45)</f>
        <v>5.3041999999999998</v>
      </c>
      <c r="H45" s="77">
        <f>CHOOSE('Calculation&amp;Summary'!$Q$35,atlantic!E45,bergen!E45,burlington!E45,camden!E45,capemay!E45,cumberland!E45,essex!E45,gloucester!E45,hudson!E45,hunterdon!E45,mercer!E45,middlesex!E45,monmouth!E45,morris!E45,ocean!E45,passaic!E45,salem!E45,somerset!E45,sussex!E45,union!E45,warren!E45)</f>
        <v>1.0302</v>
      </c>
      <c r="I45" s="77">
        <f>CHOOSE('Calculation&amp;Summary'!$Q$35,atlantic!F45,bergen!F45,burlington!F45,camden!F45,capemay!F45,cumberland!F45,essex!F45,gloucester!F45,hudson!F45,hunterdon!F45,mercer!F45,middlesex!F45,monmouth!F45,morris!F45,ocean!F45,passaic!F45,salem!F45,somerset!F45,sussex!F45,union!F45,warren!F45)</f>
        <v>1.5838000000000001</v>
      </c>
      <c r="J45" s="77">
        <f>CHOOSE('Calculation&amp;Summary'!$Q$35,atlantic!G45,bergen!G45,burlington!G45,camden!G45,capemay!G45,cumberland!G45,essex!G45,gloucester!G45,hudson!G45,hunterdon!G45,mercer!G45,middlesex!G45,monmouth!G45,morris!G45,ocean!G45,passaic!G45,salem!G45,somerset!G45,sussex!G45,union!G45,warren!G45)</f>
        <v>1.8835999999999999</v>
      </c>
      <c r="K45" s="65">
        <f t="shared" si="26"/>
        <v>530.41999999999996</v>
      </c>
      <c r="L45" s="65">
        <f t="shared" si="27"/>
        <v>281.59906561902739</v>
      </c>
      <c r="M45" s="147">
        <f t="shared" si="28"/>
        <v>30.509999999999998</v>
      </c>
      <c r="N45" s="237">
        <f t="shared" si="29"/>
        <v>19.263795933830025</v>
      </c>
      <c r="O45" s="236">
        <f t="shared" si="30"/>
        <v>68408.593229822101</v>
      </c>
      <c r="P45" s="252" t="s">
        <v>49</v>
      </c>
      <c r="Q45" s="549" t="str">
        <f>Assumptions!$E$104</f>
        <v xml:space="preserve"> </v>
      </c>
      <c r="R45" s="54" t="s">
        <v>1240</v>
      </c>
      <c r="S45" s="648"/>
      <c r="T45" s="621"/>
      <c r="U45" s="621"/>
      <c r="V45" s="618"/>
      <c r="W45" s="512"/>
      <c r="X45" s="513"/>
      <c r="Y45" s="512"/>
      <c r="Z45" s="512"/>
      <c r="AA45" s="512"/>
      <c r="AB45" s="512"/>
      <c r="AC45" s="512"/>
      <c r="AD45" s="512"/>
      <c r="AE45" s="512"/>
      <c r="AF45" s="70"/>
      <c r="AG45" s="119" t="s">
        <v>35</v>
      </c>
      <c r="AH45" s="49"/>
      <c r="AI45" s="49"/>
      <c r="AJ45" s="49" t="s">
        <v>36</v>
      </c>
      <c r="AK45" s="49"/>
      <c r="AL45" s="28" t="s">
        <v>47</v>
      </c>
      <c r="AM45" s="49"/>
      <c r="AN45" s="49" t="s">
        <v>45</v>
      </c>
      <c r="AO45" s="120"/>
      <c r="BH45" s="4">
        <f t="shared" si="31"/>
        <v>7</v>
      </c>
      <c r="BI45" s="5" t="s">
        <v>13</v>
      </c>
      <c r="BJ45" s="65">
        <f t="shared" si="32"/>
        <v>7</v>
      </c>
    </row>
    <row r="46" spans="1:110">
      <c r="A46" s="64" t="str">
        <f t="shared" si="5"/>
        <v>45. Funds, trusts, and other financial vehicles</v>
      </c>
      <c r="B46" s="64">
        <f t="shared" si="6"/>
        <v>45</v>
      </c>
      <c r="C46" s="64">
        <f t="shared" si="12"/>
        <v>45</v>
      </c>
      <c r="D46" s="181" t="s">
        <v>1646</v>
      </c>
      <c r="E46" s="77">
        <f>CHOOSE('Calculation&amp;Summary'!$Q$35,atlantic!B46,bergen!B46,burlington!B46,camden!B46,capemay!B46,cumberland!B46,essex!B46,gloucester!B46,hudson!B46,hunterdon!B46,mercer!B46,middlesex!B46,monmouth!B46,morris!B46,ocean!B46,passaic!B46,salem!B46,somerset!B46,sussex!B46,union!B46,warren!B46)</f>
        <v>1.2998000000000001</v>
      </c>
      <c r="F46" s="77">
        <f>CHOOSE('Calculation&amp;Summary'!$Q$35,atlantic!C46,bergen!C46,burlington!C46,camden!C46,capemay!C46,cumberland!C46,essex!C46,gloucester!C46,hudson!C46,hunterdon!C46,mercer!C46,middlesex!C46,monmouth!C46,morris!C46,ocean!C46,passaic!C46,salem!C46,somerset!C46,sussex!C46,union!C46,warren!C46)</f>
        <v>9.6699999999999994E-2</v>
      </c>
      <c r="G46" s="77">
        <f>CHOOSE('Calculation&amp;Summary'!$Q$35,atlantic!D46,bergen!D46,burlington!D46,camden!D46,capemay!D46,cumberland!D46,essex!D46,gloucester!D46,hudson!D46,hunterdon!D46,mercer!D46,middlesex!D46,monmouth!D46,morris!D46,ocean!D46,passaic!D46,salem!D46,somerset!D46,sussex!D46,union!D46,warren!D46)</f>
        <v>4.0949999999999998</v>
      </c>
      <c r="H46" s="77">
        <f>CHOOSE('Calculation&amp;Summary'!$Q$35,atlantic!E46,bergen!E46,burlington!E46,camden!E46,capemay!E46,cumberland!E46,essex!E46,gloucester!E46,hudson!E46,hunterdon!E46,mercer!E46,middlesex!E46,monmouth!E46,morris!E46,ocean!E46,passaic!E46,salem!E46,somerset!E46,sussex!E46,union!E46,warren!E46)</f>
        <v>0.58509999999999995</v>
      </c>
      <c r="I46" s="77">
        <f>CHOOSE('Calculation&amp;Summary'!$Q$35,atlantic!F46,bergen!F46,burlington!F46,camden!F46,capemay!F46,cumberland!F46,essex!F46,gloucester!F46,hudson!F46,hunterdon!F46,mercer!F46,middlesex!F46,monmouth!F46,morris!F46,ocean!F46,passaic!F46,salem!F46,somerset!F46,sussex!F46,union!F46,warren!F46)</f>
        <v>1.8117000000000001</v>
      </c>
      <c r="J46" s="77">
        <f>CHOOSE('Calculation&amp;Summary'!$Q$35,atlantic!G46,bergen!G46,burlington!G46,camden!G46,capemay!G46,cumberland!G46,essex!G46,gloucester!G46,hudson!G46,hunterdon!G46,mercer!G46,middlesex!G46,monmouth!G46,morris!G46,ocean!G46,passaic!G46,salem!G46,somerset!G46,sussex!G46,union!G46,warren!G46)</f>
        <v>1.3029999999999999</v>
      </c>
      <c r="K46" s="65">
        <f t="shared" si="26"/>
        <v>409.5</v>
      </c>
      <c r="L46" s="65">
        <f t="shared" si="27"/>
        <v>314.27475057559479</v>
      </c>
      <c r="M46" s="147">
        <f t="shared" si="28"/>
        <v>9.67</v>
      </c>
      <c r="N46" s="237">
        <f t="shared" si="29"/>
        <v>5.3375282883479604</v>
      </c>
      <c r="O46" s="236">
        <f t="shared" si="30"/>
        <v>16983.637020066893</v>
      </c>
      <c r="P46" s="252" t="s">
        <v>1278</v>
      </c>
      <c r="Q46" s="549">
        <f>IF((Q68*0.03)&lt;Assumptions!E107,(Q68*0.03),Assumptions!E107)</f>
        <v>0</v>
      </c>
      <c r="R46" s="630" t="s">
        <v>1239</v>
      </c>
      <c r="S46" s="648"/>
      <c r="T46" s="621"/>
      <c r="U46" s="621"/>
      <c r="V46" s="618"/>
      <c r="W46" s="512"/>
      <c r="X46" s="514"/>
      <c r="Y46" s="512"/>
      <c r="Z46" s="512"/>
      <c r="AA46" s="512"/>
      <c r="AB46" s="512"/>
      <c r="AC46" s="512"/>
      <c r="AD46" s="512"/>
      <c r="AE46" s="512"/>
      <c r="AF46" s="70"/>
      <c r="AG46" s="119" t="str">
        <f>Assumptions!J65</f>
        <v>Healthcare</v>
      </c>
      <c r="AH46" s="49"/>
      <c r="AI46" s="49"/>
      <c r="AJ46" s="50">
        <f>Assumptions!L65</f>
        <v>0.115</v>
      </c>
      <c r="AK46" s="50"/>
      <c r="AL46" s="51">
        <f t="shared" ref="AL46:AL53" si="33">AJ46/0.65</f>
        <v>0.17692307692307693</v>
      </c>
      <c r="AM46" s="52">
        <f>AM47+10000</f>
        <v>130000</v>
      </c>
      <c r="AN46" s="500">
        <f t="shared" ref="AN46:AN53" si="34">IF($Q$41=AG46,1,0)</f>
        <v>0</v>
      </c>
      <c r="AO46" s="121" t="str">
        <f t="shared" ref="AO46:AO53" si="35">IF(AN46=1,AM46,"")</f>
        <v/>
      </c>
      <c r="BH46" s="4">
        <f t="shared" si="31"/>
        <v>8</v>
      </c>
      <c r="BI46" s="5" t="s">
        <v>14</v>
      </c>
      <c r="BJ46" s="65">
        <f t="shared" si="32"/>
        <v>8</v>
      </c>
    </row>
    <row r="47" spans="1:110" ht="26.4" thickBot="1">
      <c r="A47" s="64" t="str">
        <f t="shared" si="5"/>
        <v>46. Real estate</v>
      </c>
      <c r="B47" s="64">
        <f t="shared" si="6"/>
        <v>46</v>
      </c>
      <c r="C47" s="64">
        <f t="shared" si="12"/>
        <v>46</v>
      </c>
      <c r="D47" s="181" t="s">
        <v>1647</v>
      </c>
      <c r="E47" s="77">
        <f>CHOOSE('Calculation&amp;Summary'!$Q$35,atlantic!B47,bergen!B47,burlington!B47,camden!B47,capemay!B47,cumberland!B47,essex!B47,gloucester!B47,hudson!B47,hunterdon!B47,mercer!B47,middlesex!B47,monmouth!B47,morris!B47,ocean!B47,passaic!B47,salem!B47,somerset!B47,sussex!B47,union!B47,warren!B47)</f>
        <v>1.3378000000000001</v>
      </c>
      <c r="F47" s="77">
        <f>CHOOSE('Calculation&amp;Summary'!$Q$35,atlantic!C47,bergen!C47,burlington!C47,camden!C47,capemay!C47,cumberland!C47,essex!C47,gloucester!C47,hudson!C47,hunterdon!C47,mercer!C47,middlesex!C47,monmouth!C47,morris!C47,ocean!C47,passaic!C47,salem!C47,somerset!C47,sussex!C47,union!C47,warren!C47)</f>
        <v>8.9099999999999999E-2</v>
      </c>
      <c r="G47" s="77">
        <f>CHOOSE('Calculation&amp;Summary'!$Q$35,atlantic!D47,bergen!D47,burlington!D47,camden!D47,capemay!D47,cumberland!D47,essex!D47,gloucester!D47,hudson!D47,hunterdon!D47,mercer!D47,middlesex!D47,monmouth!D47,morris!D47,ocean!D47,passaic!D47,salem!D47,somerset!D47,sussex!D47,union!D47,warren!D47)</f>
        <v>4.3863000000000003</v>
      </c>
      <c r="H47" s="77">
        <f>CHOOSE('Calculation&amp;Summary'!$Q$35,atlantic!E47,bergen!E47,burlington!E47,camden!E47,capemay!E47,cumberland!E47,essex!E47,gloucester!E47,hudson!E47,hunterdon!E47,mercer!E47,middlesex!E47,monmouth!E47,morris!E47,ocean!E47,passaic!E47,salem!E47,somerset!E47,sussex!E47,union!E47,warren!E47)</f>
        <v>0.89910000000000001</v>
      </c>
      <c r="I47" s="77">
        <f>CHOOSE('Calculation&amp;Summary'!$Q$35,atlantic!F47,bergen!F47,burlington!F47,camden!F47,capemay!F47,cumberland!F47,essex!F47,gloucester!F47,hudson!F47,hunterdon!F47,mercer!F47,middlesex!F47,monmouth!F47,morris!F47,ocean!F47,passaic!F47,salem!F47,somerset!F47,sussex!F47,union!F47,warren!F47)</f>
        <v>2.3351000000000002</v>
      </c>
      <c r="J47" s="77">
        <f>CHOOSE('Calculation&amp;Summary'!$Q$35,atlantic!G47,bergen!G47,burlington!G47,camden!G47,capemay!G47,cumberland!G47,essex!G47,gloucester!G47,hudson!G47,hunterdon!G47,mercer!G47,middlesex!G47,monmouth!G47,morris!G47,ocean!G47,passaic!G47,salem!G47,somerset!G47,sussex!G47,union!G47,warren!G47)</f>
        <v>1.4005000000000001</v>
      </c>
      <c r="K47" s="65">
        <f t="shared" si="26"/>
        <v>438.63000000000005</v>
      </c>
      <c r="L47" s="65">
        <f t="shared" si="27"/>
        <v>313.19528739735813</v>
      </c>
      <c r="M47" s="147">
        <f t="shared" si="28"/>
        <v>8.91</v>
      </c>
      <c r="N47" s="237">
        <f t="shared" si="29"/>
        <v>3.8156824118881416</v>
      </c>
      <c r="O47" s="236">
        <f t="shared" si="30"/>
        <v>12183.077349586991</v>
      </c>
      <c r="P47" s="262" t="s">
        <v>1216</v>
      </c>
      <c r="Q47" s="550">
        <f>SUM(Q42:Q46)</f>
        <v>3680000</v>
      </c>
      <c r="R47" s="54" t="s">
        <v>1488</v>
      </c>
      <c r="S47" s="647"/>
      <c r="T47" s="618"/>
      <c r="U47" s="618"/>
      <c r="V47" s="618"/>
      <c r="W47" s="512"/>
      <c r="X47" s="514"/>
      <c r="Y47" s="512"/>
      <c r="Z47" s="512"/>
      <c r="AA47" s="512"/>
      <c r="AB47" s="512"/>
      <c r="AC47" s="512"/>
      <c r="AD47" s="512"/>
      <c r="AE47" s="512"/>
      <c r="AF47" s="70"/>
      <c r="AG47" s="119" t="str">
        <f>Assumptions!J66</f>
        <v>Technology</v>
      </c>
      <c r="AH47" s="49"/>
      <c r="AI47" s="49"/>
      <c r="AJ47" s="50">
        <f>Assumptions!L66</f>
        <v>7.3999999999999996E-2</v>
      </c>
      <c r="AK47" s="50"/>
      <c r="AL47" s="51">
        <f t="shared" si="33"/>
        <v>0.11384615384615383</v>
      </c>
      <c r="AM47" s="52">
        <f>AM48+10000</f>
        <v>120000</v>
      </c>
      <c r="AN47" s="500">
        <f t="shared" si="34"/>
        <v>1</v>
      </c>
      <c r="AO47" s="121">
        <f t="shared" si="35"/>
        <v>120000</v>
      </c>
      <c r="BH47" s="4">
        <f t="shared" si="31"/>
        <v>9</v>
      </c>
      <c r="BI47" s="5" t="s">
        <v>15</v>
      </c>
      <c r="BJ47" s="65">
        <f t="shared" si="32"/>
        <v>9</v>
      </c>
    </row>
    <row r="48" spans="1:110">
      <c r="A48" s="64" t="str">
        <f t="shared" si="5"/>
        <v>47. Rental and leasing services and lessors of intangible assets</v>
      </c>
      <c r="B48" s="64">
        <f t="shared" si="6"/>
        <v>47</v>
      </c>
      <c r="C48" s="64">
        <f t="shared" si="12"/>
        <v>47</v>
      </c>
      <c r="D48" s="181" t="s">
        <v>1648</v>
      </c>
      <c r="E48" s="77">
        <f>CHOOSE('Calculation&amp;Summary'!$Q$35,atlantic!B48,bergen!B48,burlington!B48,camden!B48,capemay!B48,cumberland!B48,essex!B48,gloucester!B48,hudson!B48,hunterdon!B48,mercer!B48,middlesex!B48,monmouth!B48,morris!B48,ocean!B48,passaic!B48,salem!B48,somerset!B48,sussex!B48,union!B48,warren!B48)</f>
        <v>1.5855999999999999</v>
      </c>
      <c r="F48" s="77">
        <f>CHOOSE('Calculation&amp;Summary'!$Q$35,atlantic!C48,bergen!C48,burlington!C48,camden!C48,capemay!C48,cumberland!C48,essex!C48,gloucester!C48,hudson!C48,hunterdon!C48,mercer!C48,middlesex!C48,monmouth!C48,morris!C48,ocean!C48,passaic!C48,salem!C48,somerset!C48,sussex!C48,union!C48,warren!C48)</f>
        <v>0.25969999999999999</v>
      </c>
      <c r="G48" s="77">
        <f>CHOOSE('Calculation&amp;Summary'!$Q$35,atlantic!D48,bergen!D48,burlington!D48,camden!D48,capemay!D48,cumberland!D48,essex!D48,gloucester!D48,hudson!D48,hunterdon!D48,mercer!D48,middlesex!D48,monmouth!D48,morris!D48,ocean!D48,passaic!D48,salem!D48,somerset!D48,sussex!D48,union!D48,warren!D48)</f>
        <v>4.6459000000000001</v>
      </c>
      <c r="H48" s="77">
        <f>CHOOSE('Calculation&amp;Summary'!$Q$35,atlantic!E48,bergen!E48,burlington!E48,camden!E48,capemay!E48,cumberland!E48,essex!E48,gloucester!E48,hudson!E48,hunterdon!E48,mercer!E48,middlesex!E48,monmouth!E48,morris!E48,ocean!E48,passaic!E48,salem!E48,somerset!E48,sussex!E48,union!E48,warren!E48)</f>
        <v>1.0938000000000001</v>
      </c>
      <c r="I48" s="77">
        <f>CHOOSE('Calculation&amp;Summary'!$Q$35,atlantic!F48,bergen!F48,burlington!F48,camden!F48,capemay!F48,cumberland!F48,essex!F48,gloucester!F48,hudson!F48,hunterdon!F48,mercer!F48,middlesex!F48,monmouth!F48,morris!F48,ocean!F48,passaic!F48,salem!F48,somerset!F48,sussex!F48,union!F48,warren!F48)</f>
        <v>1.6976</v>
      </c>
      <c r="J48" s="77">
        <f>CHOOSE('Calculation&amp;Summary'!$Q$35,atlantic!G48,bergen!G48,burlington!G48,camden!G48,capemay!G48,cumberland!G48,essex!G48,gloucester!G48,hudson!G48,hunterdon!G48,mercer!G48,middlesex!G48,monmouth!G48,morris!G48,ocean!G48,passaic!G48,salem!G48,somerset!G48,sussex!G48,union!G48,warren!G48)</f>
        <v>2.1061999999999999</v>
      </c>
      <c r="K48" s="65">
        <f t="shared" si="26"/>
        <v>464.59000000000003</v>
      </c>
      <c r="L48" s="65">
        <f t="shared" si="27"/>
        <v>220.58209096951859</v>
      </c>
      <c r="M48" s="147">
        <f t="shared" si="28"/>
        <v>25.97</v>
      </c>
      <c r="N48" s="237">
        <f t="shared" si="29"/>
        <v>15.298067860508953</v>
      </c>
      <c r="O48" s="236">
        <f t="shared" si="30"/>
        <v>69353.172749744845</v>
      </c>
      <c r="P48" s="153"/>
      <c r="Q48" s="151"/>
      <c r="R48" s="151"/>
      <c r="S48" s="647"/>
      <c r="T48" s="618"/>
      <c r="U48" s="618"/>
      <c r="V48" s="618"/>
      <c r="W48" s="512"/>
      <c r="X48" s="512"/>
      <c r="Y48" s="512"/>
      <c r="Z48" s="512"/>
      <c r="AA48" s="512"/>
      <c r="AB48" s="512"/>
      <c r="AC48" s="512"/>
      <c r="AD48" s="512"/>
      <c r="AE48" s="512"/>
      <c r="AF48" s="70"/>
      <c r="AG48" s="119" t="str">
        <f>Assumptions!J67</f>
        <v>Conglomerates</v>
      </c>
      <c r="AH48" s="49"/>
      <c r="AI48" s="49"/>
      <c r="AJ48" s="50">
        <f>Assumptions!L67</f>
        <v>7.0000000000000007E-2</v>
      </c>
      <c r="AK48" s="50"/>
      <c r="AL48" s="51">
        <f t="shared" si="33"/>
        <v>0.1076923076923077</v>
      </c>
      <c r="AM48" s="52">
        <f>AM49+10000</f>
        <v>110000</v>
      </c>
      <c r="AN48" s="500">
        <f t="shared" si="34"/>
        <v>0</v>
      </c>
      <c r="AO48" s="121" t="str">
        <f t="shared" si="35"/>
        <v/>
      </c>
      <c r="BH48" s="4">
        <f t="shared" si="31"/>
        <v>10</v>
      </c>
      <c r="BI48" s="5" t="s">
        <v>16</v>
      </c>
      <c r="BJ48" s="65">
        <f t="shared" si="32"/>
        <v>10</v>
      </c>
    </row>
    <row r="49" spans="1:62">
      <c r="A49" s="64" t="str">
        <f t="shared" si="5"/>
        <v>48. Professional, scientific, and technical services</v>
      </c>
      <c r="B49" s="64">
        <f t="shared" si="6"/>
        <v>48</v>
      </c>
      <c r="C49" s="64">
        <f t="shared" si="12"/>
        <v>48</v>
      </c>
      <c r="D49" s="181" t="s">
        <v>1649</v>
      </c>
      <c r="E49" s="77">
        <f>CHOOSE('Calculation&amp;Summary'!$Q$35,atlantic!B49,bergen!B49,burlington!B49,camden!B49,capemay!B49,cumberland!B49,essex!B49,gloucester!B49,hudson!B49,hunterdon!B49,mercer!B49,middlesex!B49,monmouth!B49,morris!B49,ocean!B49,passaic!B49,salem!B49,somerset!B49,sussex!B49,union!B49,warren!B49)</f>
        <v>1.5029999999999999</v>
      </c>
      <c r="F49" s="77">
        <f>CHOOSE('Calculation&amp;Summary'!$Q$35,atlantic!C49,bergen!C49,burlington!C49,camden!C49,capemay!C49,cumberland!C49,essex!C49,gloucester!C49,hudson!C49,hunterdon!C49,mercer!C49,middlesex!C49,monmouth!C49,morris!C49,ocean!C49,passaic!C49,salem!C49,somerset!C49,sussex!C49,union!C49,warren!C49)</f>
        <v>0.37319999999999998</v>
      </c>
      <c r="G49" s="77">
        <f>CHOOSE('Calculation&amp;Summary'!$Q$35,atlantic!D49,bergen!D49,burlington!D49,camden!D49,capemay!D49,cumberland!D49,essex!D49,gloucester!D49,hudson!D49,hunterdon!D49,mercer!D49,middlesex!D49,monmouth!D49,morris!D49,ocean!D49,passaic!D49,salem!D49,somerset!D49,sussex!D49,union!D49,warren!D49)</f>
        <v>6.4923999999999999</v>
      </c>
      <c r="H49" s="77">
        <f>CHOOSE('Calculation&amp;Summary'!$Q$35,atlantic!E49,bergen!E49,burlington!E49,camden!E49,capemay!E49,cumberland!E49,essex!E49,gloucester!E49,hudson!E49,hunterdon!E49,mercer!E49,middlesex!E49,monmouth!E49,morris!E49,ocean!E49,passaic!E49,salem!E49,somerset!E49,sussex!E49,union!E49,warren!E49)</f>
        <v>1.0268999999999999</v>
      </c>
      <c r="I49" s="77">
        <f>CHOOSE('Calculation&amp;Summary'!$Q$35,atlantic!F49,bergen!F49,burlington!F49,camden!F49,capemay!F49,cumberland!F49,essex!F49,gloucester!F49,hudson!F49,hunterdon!F49,mercer!F49,middlesex!F49,monmouth!F49,morris!F49,ocean!F49,passaic!F49,salem!F49,somerset!F49,sussex!F49,union!F49,warren!F49)</f>
        <v>1.3238000000000001</v>
      </c>
      <c r="J49" s="77">
        <f>CHOOSE('Calculation&amp;Summary'!$Q$35,atlantic!G49,bergen!G49,burlington!G49,camden!G49,capemay!G49,cumberland!G49,essex!G49,gloucester!G49,hudson!G49,hunterdon!G49,mercer!G49,middlesex!G49,monmouth!G49,morris!G49,ocean!G49,passaic!G49,salem!G49,somerset!G49,sussex!G49,union!G49,warren!G49)</f>
        <v>1.5956999999999999</v>
      </c>
      <c r="K49" s="65">
        <f t="shared" si="26"/>
        <v>649.24</v>
      </c>
      <c r="L49" s="65">
        <f t="shared" si="27"/>
        <v>406.86845898351822</v>
      </c>
      <c r="M49" s="147">
        <f t="shared" si="28"/>
        <v>37.32</v>
      </c>
      <c r="N49" s="237">
        <f t="shared" si="29"/>
        <v>28.191569723523187</v>
      </c>
      <c r="O49" s="236">
        <f t="shared" si="30"/>
        <v>69289.150095228179</v>
      </c>
      <c r="P49" s="59" t="s">
        <v>1197</v>
      </c>
      <c r="Q49" s="29"/>
      <c r="R49" s="54"/>
      <c r="S49" s="648"/>
      <c r="T49" s="618"/>
      <c r="U49" s="618"/>
      <c r="V49" s="618"/>
      <c r="W49" s="512"/>
      <c r="X49" s="182"/>
      <c r="Y49" s="512"/>
      <c r="Z49" s="512"/>
      <c r="AA49" s="512"/>
      <c r="AB49" s="512"/>
      <c r="AC49" s="512"/>
      <c r="AD49" s="512"/>
      <c r="AE49" s="512"/>
      <c r="AF49" s="70"/>
      <c r="AG49" s="119" t="str">
        <f>Assumptions!J68</f>
        <v>Consumer Goods</v>
      </c>
      <c r="AH49" s="49"/>
      <c r="AI49" s="49"/>
      <c r="AJ49" s="50">
        <f>Assumptions!L68</f>
        <v>6.6000000000000003E-2</v>
      </c>
      <c r="AK49" s="50"/>
      <c r="AL49" s="51">
        <f t="shared" si="33"/>
        <v>0.10153846153846154</v>
      </c>
      <c r="AM49" s="52">
        <f>AM50+10000</f>
        <v>100000</v>
      </c>
      <c r="AN49" s="500">
        <f t="shared" si="34"/>
        <v>0</v>
      </c>
      <c r="AO49" s="121" t="str">
        <f t="shared" si="35"/>
        <v/>
      </c>
      <c r="BH49" s="4">
        <f t="shared" si="31"/>
        <v>11</v>
      </c>
      <c r="BI49" s="5" t="s">
        <v>17</v>
      </c>
      <c r="BJ49" s="65">
        <f t="shared" si="32"/>
        <v>11</v>
      </c>
    </row>
    <row r="50" spans="1:62">
      <c r="A50" s="64" t="str">
        <f t="shared" si="5"/>
        <v>49. Management of companies and enterprises</v>
      </c>
      <c r="B50" s="64">
        <f t="shared" si="6"/>
        <v>49</v>
      </c>
      <c r="C50" s="64">
        <f t="shared" si="12"/>
        <v>49</v>
      </c>
      <c r="D50" s="181" t="s">
        <v>1650</v>
      </c>
      <c r="E50" s="77">
        <f>CHOOSE('Calculation&amp;Summary'!$Q$35,atlantic!B50,bergen!B50,burlington!B50,camden!B50,capemay!B50,cumberland!B50,essex!B50,gloucester!B50,hudson!B50,hunterdon!B50,mercer!B50,middlesex!B50,monmouth!B50,morris!B50,ocean!B50,passaic!B50,salem!B50,somerset!B50,sussex!B50,union!B50,warren!B50)</f>
        <v>1.5476000000000001</v>
      </c>
      <c r="F50" s="77">
        <f>CHOOSE('Calculation&amp;Summary'!$Q$35,atlantic!C50,bergen!C50,burlington!C50,camden!C50,capemay!C50,cumberland!C50,essex!C50,gloucester!C50,hudson!C50,hunterdon!C50,mercer!C50,middlesex!C50,monmouth!C50,morris!C50,ocean!C50,passaic!C50,salem!C50,somerset!C50,sussex!C50,union!C50,warren!C50)</f>
        <v>0.36199999999999999</v>
      </c>
      <c r="G50" s="77">
        <f>CHOOSE('Calculation&amp;Summary'!$Q$35,atlantic!D50,bergen!D50,burlington!D50,camden!D50,capemay!D50,cumberland!D50,essex!D50,gloucester!D50,hudson!D50,hunterdon!D50,mercer!D50,middlesex!D50,monmouth!D50,morris!D50,ocean!D50,passaic!D50,salem!D50,somerset!D50,sussex!D50,union!D50,warren!D50)</f>
        <v>4.8880999999999997</v>
      </c>
      <c r="H50" s="77">
        <f>CHOOSE('Calculation&amp;Summary'!$Q$35,atlantic!E50,bergen!E50,burlington!E50,camden!E50,capemay!E50,cumberland!E50,essex!E50,gloucester!E50,hudson!E50,hunterdon!E50,mercer!E50,middlesex!E50,monmouth!E50,morris!E50,ocean!E50,passaic!E50,salem!E50,somerset!E50,sussex!E50,union!E50,warren!E50)</f>
        <v>0.98709999999999998</v>
      </c>
      <c r="I50" s="77">
        <f>CHOOSE('Calculation&amp;Summary'!$Q$35,atlantic!F50,bergen!F50,burlington!F50,camden!F50,capemay!F50,cumberland!F50,essex!F50,gloucester!F50,hudson!F50,hunterdon!F50,mercer!F50,middlesex!F50,monmouth!F50,morris!F50,ocean!F50,passaic!F50,salem!F50,somerset!F50,sussex!F50,union!F50,warren!F50)</f>
        <v>1.3791</v>
      </c>
      <c r="J50" s="77">
        <f>CHOOSE('Calculation&amp;Summary'!$Q$35,atlantic!G50,bergen!G50,burlington!G50,camden!G50,capemay!G50,cumberland!G50,essex!G50,gloucester!G50,hudson!G50,hunterdon!G50,mercer!G50,middlesex!G50,monmouth!G50,morris!G50,ocean!G50,passaic!G50,salem!G50,somerset!G50,sussex!G50,union!G50,warren!G50)</f>
        <v>2.0081000000000002</v>
      </c>
      <c r="K50" s="65">
        <f t="shared" si="26"/>
        <v>488.80999999999995</v>
      </c>
      <c r="L50" s="65">
        <f t="shared" si="27"/>
        <v>243.41915243264773</v>
      </c>
      <c r="M50" s="147">
        <f t="shared" si="28"/>
        <v>36.199999999999996</v>
      </c>
      <c r="N50" s="237">
        <f t="shared" si="29"/>
        <v>26.249002972953374</v>
      </c>
      <c r="O50" s="236">
        <f t="shared" si="30"/>
        <v>107834.58372371203</v>
      </c>
      <c r="P50" s="56" t="s">
        <v>1194</v>
      </c>
      <c r="Q50" s="551">
        <f>Q20+S20+U20</f>
        <v>86905412.647374079</v>
      </c>
      <c r="R50" s="631" t="s">
        <v>1264</v>
      </c>
      <c r="S50" s="647"/>
      <c r="T50" s="618"/>
      <c r="U50" s="618"/>
      <c r="V50" s="618"/>
      <c r="W50" s="512"/>
      <c r="X50" s="512"/>
      <c r="Y50" s="512"/>
      <c r="Z50" s="512"/>
      <c r="AA50" s="512"/>
      <c r="AB50" s="512"/>
      <c r="AC50" s="512"/>
      <c r="AD50" s="512"/>
      <c r="AE50" s="512"/>
      <c r="AF50" s="70"/>
      <c r="AG50" s="119" t="str">
        <f>Assumptions!J69</f>
        <v>Basic Materials</v>
      </c>
      <c r="AH50" s="49"/>
      <c r="AI50" s="49"/>
      <c r="AJ50" s="50">
        <f>Assumptions!L69</f>
        <v>3.2000000000000001E-2</v>
      </c>
      <c r="AK50" s="50"/>
      <c r="AL50" s="51">
        <f t="shared" si="33"/>
        <v>4.9230769230769231E-2</v>
      </c>
      <c r="AM50" s="162">
        <v>90000</v>
      </c>
      <c r="AN50" s="500">
        <f t="shared" si="34"/>
        <v>0</v>
      </c>
      <c r="AO50" s="121" t="str">
        <f t="shared" si="35"/>
        <v/>
      </c>
      <c r="BH50" s="4">
        <f t="shared" si="31"/>
        <v>12</v>
      </c>
      <c r="BI50" s="5" t="s">
        <v>18</v>
      </c>
      <c r="BJ50" s="65">
        <f t="shared" si="32"/>
        <v>12</v>
      </c>
    </row>
    <row r="51" spans="1:62">
      <c r="A51" s="64" t="str">
        <f t="shared" si="5"/>
        <v>50. Administrative and support services</v>
      </c>
      <c r="B51" s="64">
        <f t="shared" si="6"/>
        <v>50</v>
      </c>
      <c r="C51" s="64">
        <f t="shared" si="12"/>
        <v>50</v>
      </c>
      <c r="D51" s="181" t="s">
        <v>1651</v>
      </c>
      <c r="E51" s="77">
        <f>CHOOSE('Calculation&amp;Summary'!$Q$35,atlantic!B51,bergen!B51,burlington!B51,camden!B51,capemay!B51,cumberland!B51,essex!B51,gloucester!B51,hudson!B51,hunterdon!B51,mercer!B51,middlesex!B51,monmouth!B51,morris!B51,ocean!B51,passaic!B51,salem!B51,somerset!B51,sussex!B51,union!B51,warren!B51)</f>
        <v>1.5435000000000001</v>
      </c>
      <c r="F51" s="77">
        <f>CHOOSE('Calculation&amp;Summary'!$Q$35,atlantic!C51,bergen!C51,burlington!C51,camden!C51,capemay!C51,cumberland!C51,essex!C51,gloucester!C51,hudson!C51,hunterdon!C51,mercer!C51,middlesex!C51,monmouth!C51,morris!C51,ocean!C51,passaic!C51,salem!C51,somerset!C51,sussex!C51,union!C51,warren!C51)</f>
        <v>0.35970000000000002</v>
      </c>
      <c r="G51" s="77">
        <f>CHOOSE('Calculation&amp;Summary'!$Q$35,atlantic!D51,bergen!D51,burlington!D51,camden!D51,capemay!D51,cumberland!D51,essex!D51,gloucester!D51,hudson!D51,hunterdon!D51,mercer!D51,middlesex!D51,monmouth!D51,morris!D51,ocean!D51,passaic!D51,salem!D51,somerset!D51,sussex!D51,union!D51,warren!D51)</f>
        <v>12.3895</v>
      </c>
      <c r="H51" s="77">
        <f>CHOOSE('Calculation&amp;Summary'!$Q$35,atlantic!E51,bergen!E51,burlington!E51,camden!E51,capemay!E51,cumberland!E51,essex!E51,gloucester!E51,hudson!E51,hunterdon!E51,mercer!E51,middlesex!E51,monmouth!E51,morris!E51,ocean!E51,passaic!E51,salem!E51,somerset!E51,sussex!E51,union!E51,warren!E51)</f>
        <v>1.0074000000000001</v>
      </c>
      <c r="I51" s="77">
        <f>CHOOSE('Calculation&amp;Summary'!$Q$35,atlantic!F51,bergen!F51,burlington!F51,camden!F51,capemay!F51,cumberland!F51,essex!F51,gloucester!F51,hudson!F51,hunterdon!F51,mercer!F51,middlesex!F51,monmouth!F51,morris!F51,ocean!F51,passaic!F51,salem!F51,somerset!F51,sussex!F51,union!F51,warren!F51)</f>
        <v>1.3866000000000001</v>
      </c>
      <c r="J51" s="77">
        <f>CHOOSE('Calculation&amp;Summary'!$Q$35,atlantic!G51,bergen!G51,burlington!G51,camden!G51,capemay!G51,cumberland!G51,essex!G51,gloucester!G51,hudson!G51,hunterdon!G51,mercer!G51,middlesex!G51,monmouth!G51,morris!G51,ocean!G51,passaic!G51,salem!G51,somerset!G51,sussex!G51,union!G51,warren!G51)</f>
        <v>1.2695000000000001</v>
      </c>
      <c r="K51" s="65">
        <f t="shared" si="26"/>
        <v>1238.95</v>
      </c>
      <c r="L51" s="65">
        <f t="shared" si="27"/>
        <v>975.93540764080342</v>
      </c>
      <c r="M51" s="147">
        <f t="shared" si="28"/>
        <v>35.97</v>
      </c>
      <c r="N51" s="237">
        <f t="shared" si="29"/>
        <v>25.941151016875811</v>
      </c>
      <c r="O51" s="236">
        <f t="shared" si="30"/>
        <v>26580.807309353764</v>
      </c>
      <c r="P51" s="33" t="s">
        <v>1231</v>
      </c>
      <c r="Q51" s="61">
        <f>W21</f>
        <v>1.5030000000000001</v>
      </c>
      <c r="R51" s="631" t="s">
        <v>1279</v>
      </c>
      <c r="S51" s="647"/>
      <c r="T51" s="618"/>
      <c r="U51" s="618"/>
      <c r="V51" s="618"/>
      <c r="W51" s="512"/>
      <c r="X51" s="512"/>
      <c r="Y51" s="512"/>
      <c r="Z51" s="512"/>
      <c r="AA51" s="512"/>
      <c r="AB51" s="512"/>
      <c r="AC51" s="512"/>
      <c r="AD51" s="512"/>
      <c r="AE51" s="512"/>
      <c r="AF51" s="70"/>
      <c r="AG51" s="119" t="str">
        <f>Assumptions!J70</f>
        <v>Services</v>
      </c>
      <c r="AH51" s="49"/>
      <c r="AI51" s="49"/>
      <c r="AJ51" s="50">
        <f>Assumptions!L70</f>
        <v>1.7999999999999999E-2</v>
      </c>
      <c r="AK51" s="50"/>
      <c r="AL51" s="51">
        <f t="shared" si="33"/>
        <v>2.769230769230769E-2</v>
      </c>
      <c r="AM51" s="52">
        <f>AM50-20000</f>
        <v>70000</v>
      </c>
      <c r="AN51" s="500">
        <f t="shared" si="34"/>
        <v>0</v>
      </c>
      <c r="AO51" s="121" t="str">
        <f t="shared" si="35"/>
        <v/>
      </c>
      <c r="BH51" s="4">
        <f t="shared" si="31"/>
        <v>13</v>
      </c>
      <c r="BI51" s="5" t="s">
        <v>19</v>
      </c>
      <c r="BJ51" s="65">
        <f t="shared" si="32"/>
        <v>13</v>
      </c>
    </row>
    <row r="52" spans="1:62">
      <c r="A52" s="64" t="str">
        <f t="shared" si="5"/>
        <v>51. Waste management and remediation services</v>
      </c>
      <c r="B52" s="64">
        <f t="shared" si="6"/>
        <v>51</v>
      </c>
      <c r="C52" s="64">
        <f t="shared" si="12"/>
        <v>51</v>
      </c>
      <c r="D52" s="181" t="s">
        <v>1652</v>
      </c>
      <c r="E52" s="77">
        <f>CHOOSE('Calculation&amp;Summary'!$Q$35,atlantic!B52,bergen!B52,burlington!B52,camden!B52,capemay!B52,cumberland!B52,essex!B52,gloucester!B52,hudson!B52,hunterdon!B52,mercer!B52,middlesex!B52,monmouth!B52,morris!B52,ocean!B52,passaic!B52,salem!B52,somerset!B52,sussex!B52,union!B52,warren!B52)</f>
        <v>1.7478</v>
      </c>
      <c r="F52" s="77">
        <f>CHOOSE('Calculation&amp;Summary'!$Q$35,atlantic!C52,bergen!C52,burlington!C52,camden!C52,capemay!C52,cumberland!C52,essex!C52,gloucester!C52,hudson!C52,hunterdon!C52,mercer!C52,middlesex!C52,monmouth!C52,morris!C52,ocean!C52,passaic!C52,salem!C52,somerset!C52,sussex!C52,union!C52,warren!C52)</f>
        <v>0.4199</v>
      </c>
      <c r="G52" s="77">
        <f>CHOOSE('Calculation&amp;Summary'!$Q$35,atlantic!D52,bergen!D52,burlington!D52,camden!D52,capemay!D52,cumberland!D52,essex!D52,gloucester!D52,hudson!D52,hunterdon!D52,mercer!D52,middlesex!D52,monmouth!D52,morris!D52,ocean!D52,passaic!D52,salem!D52,somerset!D52,sussex!D52,union!D52,warren!D52)</f>
        <v>7.8982999999999999</v>
      </c>
      <c r="H52" s="77">
        <f>CHOOSE('Calculation&amp;Summary'!$Q$35,atlantic!E52,bergen!E52,burlington!E52,camden!E52,capemay!E52,cumberland!E52,essex!E52,gloucester!E52,hudson!E52,hunterdon!E52,mercer!E52,middlesex!E52,monmouth!E52,morris!E52,ocean!E52,passaic!E52,salem!E52,somerset!E52,sussex!E52,union!E52,warren!E52)</f>
        <v>0.96599999999999997</v>
      </c>
      <c r="I52" s="77">
        <f>CHOOSE('Calculation&amp;Summary'!$Q$35,atlantic!F52,bergen!F52,burlington!F52,camden!F52,capemay!F52,cumberland!F52,essex!F52,gloucester!F52,hudson!F52,hunterdon!F52,mercer!F52,middlesex!F52,monmouth!F52,morris!F52,ocean!F52,passaic!F52,salem!F52,somerset!F52,sussex!F52,union!F52,warren!F52)</f>
        <v>1.554</v>
      </c>
      <c r="J52" s="77">
        <f>CHOOSE('Calculation&amp;Summary'!$Q$35,atlantic!G52,bergen!G52,burlington!G52,camden!G52,capemay!G52,cumberland!G52,essex!G52,gloucester!G52,hudson!G52,hunterdon!G52,mercer!G52,middlesex!G52,monmouth!G52,morris!G52,ocean!G52,passaic!G52,salem!G52,somerset!G52,sussex!G52,union!G52,warren!G52)</f>
        <v>1.8111999999999999</v>
      </c>
      <c r="K52" s="65">
        <f t="shared" si="26"/>
        <v>789.83</v>
      </c>
      <c r="L52" s="65">
        <f t="shared" si="27"/>
        <v>436.08105123674915</v>
      </c>
      <c r="M52" s="147">
        <f t="shared" si="28"/>
        <v>41.99</v>
      </c>
      <c r="N52" s="237">
        <f t="shared" si="29"/>
        <v>27.020592020592019</v>
      </c>
      <c r="O52" s="236">
        <f t="shared" si="30"/>
        <v>61962.316280334075</v>
      </c>
      <c r="P52" s="33" t="s">
        <v>1195</v>
      </c>
      <c r="Q52" s="582">
        <f>(Q51-1)*Q50</f>
        <v>43713422.561629169</v>
      </c>
      <c r="R52" s="631" t="s">
        <v>1282</v>
      </c>
      <c r="S52" s="647"/>
      <c r="T52" s="618"/>
      <c r="U52" s="618"/>
      <c r="V52" s="618"/>
      <c r="W52" s="512"/>
      <c r="X52" s="512"/>
      <c r="Y52" s="512"/>
      <c r="Z52" s="512"/>
      <c r="AA52" s="512"/>
      <c r="AB52" s="512"/>
      <c r="AC52" s="512"/>
      <c r="AD52" s="512"/>
      <c r="AE52" s="512"/>
      <c r="AF52" s="70"/>
      <c r="AG52" s="119" t="str">
        <f>Assumptions!J71</f>
        <v>Industrial Goods</v>
      </c>
      <c r="AH52" s="49"/>
      <c r="AI52" s="49"/>
      <c r="AJ52" s="50">
        <f>Assumptions!L71</f>
        <v>8.3000000000000001E-3</v>
      </c>
      <c r="AK52" s="50"/>
      <c r="AL52" s="51">
        <f t="shared" si="33"/>
        <v>1.2769230769230769E-2</v>
      </c>
      <c r="AM52" s="52">
        <f>AM51-20000</f>
        <v>50000</v>
      </c>
      <c r="AN52" s="500">
        <f>IF($Q$41=AG52,1,0)</f>
        <v>0</v>
      </c>
      <c r="AO52" s="121" t="str">
        <f>IF(AN52=1,AM52,"")</f>
        <v/>
      </c>
      <c r="BH52" s="4">
        <f t="shared" si="31"/>
        <v>14</v>
      </c>
      <c r="BI52" s="5" t="s">
        <v>20</v>
      </c>
      <c r="BJ52" s="65">
        <f t="shared" si="32"/>
        <v>14</v>
      </c>
    </row>
    <row r="53" spans="1:62" ht="26.4" thickBot="1">
      <c r="A53" s="64" t="str">
        <f t="shared" si="5"/>
        <v>52. Educational services</v>
      </c>
      <c r="B53" s="64">
        <f t="shared" si="6"/>
        <v>52</v>
      </c>
      <c r="C53" s="64">
        <f t="shared" si="12"/>
        <v>52</v>
      </c>
      <c r="D53" s="181" t="s">
        <v>1653</v>
      </c>
      <c r="E53" s="77">
        <f>CHOOSE('Calculation&amp;Summary'!$Q$35,atlantic!B53,bergen!B53,burlington!B53,camden!B53,capemay!B53,cumberland!B53,essex!B53,gloucester!B53,hudson!B53,hunterdon!B53,mercer!B53,middlesex!B53,monmouth!B53,morris!B53,ocean!B53,passaic!B53,salem!B53,somerset!B53,sussex!B53,union!B53,warren!B53)</f>
        <v>1.5911</v>
      </c>
      <c r="F53" s="77">
        <f>CHOOSE('Calculation&amp;Summary'!$Q$35,atlantic!C53,bergen!C53,burlington!C53,camden!C53,capemay!C53,cumberland!C53,essex!C53,gloucester!C53,hudson!C53,hunterdon!C53,mercer!C53,middlesex!C53,monmouth!C53,morris!C53,ocean!C53,passaic!C53,salem!C53,somerset!C53,sussex!C53,union!C53,warren!C53)</f>
        <v>0.41699999999999998</v>
      </c>
      <c r="G53" s="77">
        <f>CHOOSE('Calculation&amp;Summary'!$Q$35,atlantic!D53,bergen!D53,burlington!D53,camden!D53,capemay!D53,cumberland!D53,essex!D53,gloucester!D53,hudson!D53,hunterdon!D53,mercer!D53,middlesex!D53,monmouth!D53,morris!D53,ocean!D53,passaic!D53,salem!D53,somerset!D53,sussex!D53,union!D53,warren!D53)</f>
        <v>13.3902</v>
      </c>
      <c r="H53" s="77">
        <f>CHOOSE('Calculation&amp;Summary'!$Q$35,atlantic!E53,bergen!E53,burlington!E53,camden!E53,capemay!E53,cumberland!E53,essex!E53,gloucester!E53,hudson!E53,hunterdon!E53,mercer!E53,middlesex!E53,monmouth!E53,morris!E53,ocean!E53,passaic!E53,salem!E53,somerset!E53,sussex!E53,union!E53,warren!E53)</f>
        <v>1.0172000000000001</v>
      </c>
      <c r="I53" s="77">
        <f>CHOOSE('Calculation&amp;Summary'!$Q$35,atlantic!F53,bergen!F53,burlington!F53,camden!F53,capemay!F53,cumberland!F53,essex!F53,gloucester!F53,hudson!F53,hunterdon!F53,mercer!F53,middlesex!F53,monmouth!F53,morris!F53,ocean!F53,passaic!F53,salem!F53,somerset!F53,sussex!F53,union!F53,warren!F53)</f>
        <v>1.3050999999999999</v>
      </c>
      <c r="J53" s="77">
        <f>CHOOSE('Calculation&amp;Summary'!$Q$35,atlantic!G53,bergen!G53,burlington!G53,camden!G53,capemay!G53,cumberland!G53,essex!G53,gloucester!G53,hudson!G53,hunterdon!G53,mercer!G53,middlesex!G53,monmouth!G53,morris!G53,ocean!G53,passaic!G53,salem!G53,somerset!G53,sussex!G53,union!G53,warren!G53)</f>
        <v>1.2473000000000001</v>
      </c>
      <c r="K53" s="65">
        <f t="shared" si="26"/>
        <v>1339.02</v>
      </c>
      <c r="L53" s="65">
        <f t="shared" si="27"/>
        <v>1073.5348352441272</v>
      </c>
      <c r="M53" s="147">
        <f t="shared" si="28"/>
        <v>41.699999999999996</v>
      </c>
      <c r="N53" s="237">
        <f t="shared" si="29"/>
        <v>31.951574591985288</v>
      </c>
      <c r="O53" s="236">
        <f t="shared" si="30"/>
        <v>29762.960216115705</v>
      </c>
      <c r="P53" s="33" t="s">
        <v>1217</v>
      </c>
      <c r="Q53" s="552">
        <f>Q52*0.035</f>
        <v>1529969.7896570209</v>
      </c>
      <c r="R53" s="54" t="s">
        <v>1202</v>
      </c>
      <c r="S53" s="647"/>
      <c r="T53" s="618"/>
      <c r="U53" s="618"/>
      <c r="V53" s="618"/>
      <c r="W53" s="66"/>
      <c r="X53" s="512"/>
      <c r="Y53" s="512"/>
      <c r="Z53" s="512"/>
      <c r="AA53" s="512"/>
      <c r="AB53" s="512"/>
      <c r="AC53" s="512"/>
      <c r="AD53" s="512"/>
      <c r="AE53" s="512"/>
      <c r="AF53" s="70"/>
      <c r="AG53" s="122" t="str">
        <f>Assumptions!J72</f>
        <v>Utilities</v>
      </c>
      <c r="AH53" s="123"/>
      <c r="AI53" s="123"/>
      <c r="AJ53" s="124">
        <f>Assumptions!L72</f>
        <v>6.1199999999999996E-3</v>
      </c>
      <c r="AK53" s="124"/>
      <c r="AL53" s="125">
        <f t="shared" si="33"/>
        <v>9.4153846153846137E-3</v>
      </c>
      <c r="AM53" s="126">
        <f>AM52-20000</f>
        <v>30000</v>
      </c>
      <c r="AN53" s="501">
        <f t="shared" si="34"/>
        <v>0</v>
      </c>
      <c r="AO53" s="127" t="str">
        <f t="shared" si="35"/>
        <v/>
      </c>
      <c r="BH53" s="4">
        <f t="shared" si="31"/>
        <v>15</v>
      </c>
      <c r="BI53" s="5" t="s">
        <v>21</v>
      </c>
      <c r="BJ53" s="65">
        <f t="shared" si="32"/>
        <v>15</v>
      </c>
    </row>
    <row r="54" spans="1:62">
      <c r="A54" s="64" t="str">
        <f t="shared" si="5"/>
        <v>53. Ambulatory health care services</v>
      </c>
      <c r="B54" s="64">
        <f t="shared" si="6"/>
        <v>53</v>
      </c>
      <c r="C54" s="64">
        <f t="shared" si="12"/>
        <v>53</v>
      </c>
      <c r="D54" s="181" t="s">
        <v>1654</v>
      </c>
      <c r="E54" s="77">
        <f>CHOOSE('Calculation&amp;Summary'!$Q$35,atlantic!B54,bergen!B54,burlington!B54,camden!B54,capemay!B54,cumberland!B54,essex!B54,gloucester!B54,hudson!B54,hunterdon!B54,mercer!B54,middlesex!B54,monmouth!B54,morris!B54,ocean!B54,passaic!B54,salem!B54,somerset!B54,sussex!B54,union!B54,warren!B54)</f>
        <v>1.5778000000000001</v>
      </c>
      <c r="F54" s="77">
        <f>CHOOSE('Calculation&amp;Summary'!$Q$35,atlantic!C54,bergen!C54,burlington!C54,camden!C54,capemay!C54,cumberland!C54,essex!C54,gloucester!C54,hudson!C54,hunterdon!C54,mercer!C54,middlesex!C54,monmouth!C54,morris!C54,ocean!C54,passaic!C54,salem!C54,somerset!C54,sussex!C54,union!C54,warren!C54)</f>
        <v>0.39529999999999998</v>
      </c>
      <c r="G54" s="77">
        <f>CHOOSE('Calculation&amp;Summary'!$Q$35,atlantic!D54,bergen!D54,burlington!D54,camden!D54,capemay!D54,cumberland!D54,essex!D54,gloucester!D54,hudson!D54,hunterdon!D54,mercer!D54,middlesex!D54,monmouth!D54,morris!D54,ocean!D54,passaic!D54,salem!D54,somerset!D54,sussex!D54,union!D54,warren!D54)</f>
        <v>7.4339000000000004</v>
      </c>
      <c r="H54" s="77">
        <f>CHOOSE('Calculation&amp;Summary'!$Q$35,atlantic!E54,bergen!E54,burlington!E54,camden!E54,capemay!E54,cumberland!E54,essex!E54,gloucester!E54,hudson!E54,hunterdon!E54,mercer!E54,middlesex!E54,monmouth!E54,morris!E54,ocean!E54,passaic!E54,salem!E54,somerset!E54,sussex!E54,union!E54,warren!E54)</f>
        <v>1.0478000000000001</v>
      </c>
      <c r="I54" s="77">
        <f>CHOOSE('Calculation&amp;Summary'!$Q$35,atlantic!F54,bergen!F54,burlington!F54,camden!F54,capemay!F54,cumberland!F54,essex!F54,gloucester!F54,hudson!F54,hunterdon!F54,mercer!F54,middlesex!F54,monmouth!F54,morris!F54,ocean!F54,passaic!F54,salem!F54,somerset!F54,sussex!F54,union!F54,warren!F54)</f>
        <v>1.3763000000000001</v>
      </c>
      <c r="J54" s="77">
        <f>CHOOSE('Calculation&amp;Summary'!$Q$35,atlantic!G54,bergen!G54,burlington!G54,camden!G54,capemay!G54,cumberland!G54,essex!G54,gloucester!G54,hudson!G54,hunterdon!G54,mercer!G54,middlesex!G54,monmouth!G54,morris!G54,ocean!G54,passaic!G54,salem!G54,somerset!G54,sussex!G54,union!G54,warren!G54)</f>
        <v>1.5934999999999999</v>
      </c>
      <c r="K54" s="65">
        <f t="shared" si="26"/>
        <v>743.39</v>
      </c>
      <c r="L54" s="65">
        <f t="shared" si="27"/>
        <v>466.51396297458427</v>
      </c>
      <c r="M54" s="147">
        <f t="shared" si="28"/>
        <v>39.53</v>
      </c>
      <c r="N54" s="237">
        <f t="shared" si="29"/>
        <v>28.721935624500471</v>
      </c>
      <c r="O54" s="236">
        <f t="shared" si="30"/>
        <v>61567.151048092514</v>
      </c>
      <c r="P54" s="33" t="s">
        <v>1192</v>
      </c>
      <c r="Q54" s="552">
        <f>W28</f>
        <v>24500000</v>
      </c>
      <c r="R54" s="631" t="s">
        <v>1265</v>
      </c>
      <c r="S54" s="647"/>
      <c r="T54" s="618"/>
      <c r="U54" s="618"/>
      <c r="V54" s="618"/>
      <c r="W54" s="512"/>
      <c r="X54" s="512"/>
      <c r="Y54" s="512"/>
      <c r="Z54" s="512"/>
      <c r="AA54" s="512"/>
      <c r="AB54" s="512"/>
      <c r="AC54" s="512"/>
      <c r="AD54" s="512"/>
      <c r="AE54" s="512"/>
      <c r="AF54" s="70"/>
      <c r="AO54" s="76">
        <f>SUM(AO46:AO53)</f>
        <v>120000</v>
      </c>
      <c r="BH54" s="4">
        <f t="shared" si="31"/>
        <v>16</v>
      </c>
      <c r="BI54" s="5" t="s">
        <v>22</v>
      </c>
      <c r="BJ54" s="65">
        <f t="shared" si="32"/>
        <v>16</v>
      </c>
    </row>
    <row r="55" spans="1:62">
      <c r="A55" s="64" t="str">
        <f t="shared" si="5"/>
        <v>54. Hospitals</v>
      </c>
      <c r="B55" s="64">
        <f t="shared" si="6"/>
        <v>54</v>
      </c>
      <c r="C55" s="64">
        <f t="shared" si="12"/>
        <v>54</v>
      </c>
      <c r="D55" s="181" t="s">
        <v>1655</v>
      </c>
      <c r="E55" s="77">
        <f>CHOOSE('Calculation&amp;Summary'!$Q$35,atlantic!B55,bergen!B55,burlington!B55,camden!B55,capemay!B55,cumberland!B55,essex!B55,gloucester!B55,hudson!B55,hunterdon!B55,mercer!B55,middlesex!B55,monmouth!B55,morris!B55,ocean!B55,passaic!B55,salem!B55,somerset!B55,sussex!B55,union!B55,warren!B55)</f>
        <v>1.6180000000000001</v>
      </c>
      <c r="F55" s="77">
        <f>CHOOSE('Calculation&amp;Summary'!$Q$35,atlantic!C55,bergen!C55,burlington!C55,camden!C55,capemay!C55,cumberland!C55,essex!C55,gloucester!C55,hudson!C55,hunterdon!C55,mercer!C55,middlesex!C55,monmouth!C55,morris!C55,ocean!C55,passaic!C55,salem!C55,somerset!C55,sussex!C55,union!C55,warren!C55)</f>
        <v>0.311</v>
      </c>
      <c r="G55" s="77">
        <f>CHOOSE('Calculation&amp;Summary'!$Q$35,atlantic!D55,bergen!D55,burlington!D55,camden!D55,capemay!D55,cumberland!D55,essex!D55,gloucester!D55,hudson!D55,hunterdon!D55,mercer!D55,middlesex!D55,monmouth!D55,morris!D55,ocean!D55,passaic!D55,salem!D55,somerset!D55,sussex!D55,union!D55,warren!D55)</f>
        <v>6.3742000000000001</v>
      </c>
      <c r="H55" s="77">
        <f>CHOOSE('Calculation&amp;Summary'!$Q$35,atlantic!E55,bergen!E55,burlington!E55,camden!E55,capemay!E55,cumberland!E55,essex!E55,gloucester!E55,hudson!E55,hunterdon!E55,mercer!E55,middlesex!E55,monmouth!E55,morris!E55,ocean!E55,passaic!E55,salem!E55,somerset!E55,sussex!E55,union!E55,warren!E55)</f>
        <v>0.9224</v>
      </c>
      <c r="I55" s="77">
        <f>CHOOSE('Calculation&amp;Summary'!$Q$35,atlantic!F55,bergen!F55,burlington!F55,camden!F55,capemay!F55,cumberland!F55,essex!F55,gloucester!F55,hudson!F55,hunterdon!F55,mercer!F55,middlesex!F55,monmouth!F55,morris!F55,ocean!F55,passaic!F55,salem!F55,somerset!F55,sussex!F55,union!F55,warren!F55)</f>
        <v>1.5078</v>
      </c>
      <c r="J55" s="77">
        <f>CHOOSE('Calculation&amp;Summary'!$Q$35,atlantic!G55,bergen!G55,burlington!G55,camden!G55,capemay!G55,cumberland!G55,essex!G55,gloucester!G55,hudson!G55,hunterdon!G55,mercer!G55,middlesex!G55,monmouth!G55,morris!G55,ocean!G55,passaic!G55,salem!G55,somerset!G55,sussex!G55,union!G55,warren!G55)</f>
        <v>1.7446999999999999</v>
      </c>
      <c r="K55" s="65">
        <f t="shared" si="26"/>
        <v>637.41999999999996</v>
      </c>
      <c r="L55" s="65">
        <f t="shared" si="27"/>
        <v>365.34647790451078</v>
      </c>
      <c r="M55" s="147">
        <f t="shared" si="28"/>
        <v>31.1</v>
      </c>
      <c r="N55" s="237">
        <f t="shared" si="29"/>
        <v>20.626077729141798</v>
      </c>
      <c r="O55" s="236">
        <f t="shared" si="30"/>
        <v>56456.210683746503</v>
      </c>
      <c r="P55" s="33" t="s">
        <v>1218</v>
      </c>
      <c r="Q55" s="61">
        <f>W27</f>
        <v>1.3238000000000001</v>
      </c>
      <c r="R55" s="631" t="s">
        <v>1280</v>
      </c>
      <c r="S55" s="647"/>
      <c r="T55" s="618"/>
      <c r="U55" s="618"/>
      <c r="V55" s="618"/>
      <c r="W55" s="512"/>
      <c r="X55" s="512"/>
      <c r="Y55" s="512"/>
      <c r="Z55" s="512"/>
      <c r="AA55" s="512"/>
      <c r="AB55" s="512"/>
      <c r="AC55" s="512"/>
      <c r="AD55" s="512"/>
      <c r="AE55" s="512"/>
      <c r="AF55" s="70"/>
      <c r="BH55" s="4">
        <f t="shared" si="31"/>
        <v>17</v>
      </c>
      <c r="BI55" s="5" t="s">
        <v>23</v>
      </c>
      <c r="BJ55" s="65">
        <f t="shared" si="32"/>
        <v>17</v>
      </c>
    </row>
    <row r="56" spans="1:62">
      <c r="A56" s="64" t="str">
        <f t="shared" si="5"/>
        <v>55. Nursing and residential care facilities</v>
      </c>
      <c r="B56" s="64">
        <f t="shared" si="6"/>
        <v>55</v>
      </c>
      <c r="C56" s="64">
        <f t="shared" si="12"/>
        <v>55</v>
      </c>
      <c r="D56" s="181" t="s">
        <v>1656</v>
      </c>
      <c r="E56" s="77">
        <f>CHOOSE('Calculation&amp;Summary'!$Q$35,atlantic!B56,bergen!B56,burlington!B56,camden!B56,capemay!B56,cumberland!B56,essex!B56,gloucester!B56,hudson!B56,hunterdon!B56,mercer!B56,middlesex!B56,monmouth!B56,morris!B56,ocean!B56,passaic!B56,salem!B56,somerset!B56,sussex!B56,union!B56,warren!B56)</f>
        <v>1.6082000000000001</v>
      </c>
      <c r="F56" s="77">
        <f>CHOOSE('Calculation&amp;Summary'!$Q$35,atlantic!C56,bergen!C56,burlington!C56,camden!C56,capemay!C56,cumberland!C56,essex!C56,gloucester!C56,hudson!C56,hunterdon!C56,mercer!C56,middlesex!C56,monmouth!C56,morris!C56,ocean!C56,passaic!C56,salem!C56,somerset!C56,sussex!C56,union!C56,warren!C56)</f>
        <v>0.4415</v>
      </c>
      <c r="G56" s="77">
        <f>CHOOSE('Calculation&amp;Summary'!$Q$35,atlantic!D56,bergen!D56,burlington!D56,camden!D56,capemay!D56,cumberland!D56,essex!D56,gloucester!D56,hudson!D56,hunterdon!D56,mercer!D56,middlesex!D56,monmouth!D56,morris!D56,ocean!D56,passaic!D56,salem!D56,somerset!D56,sussex!D56,union!D56,warren!D56)</f>
        <v>13.8127</v>
      </c>
      <c r="H56" s="77">
        <f>CHOOSE('Calculation&amp;Summary'!$Q$35,atlantic!E56,bergen!E56,burlington!E56,camden!E56,capemay!E56,cumberland!E56,essex!E56,gloucester!E56,hudson!E56,hunterdon!E56,mercer!E56,middlesex!E56,monmouth!E56,morris!E56,ocean!E56,passaic!E56,salem!E56,somerset!E56,sussex!E56,union!E56,warren!E56)</f>
        <v>1.0501</v>
      </c>
      <c r="I56" s="77">
        <f>CHOOSE('Calculation&amp;Summary'!$Q$35,atlantic!F56,bergen!F56,burlington!F56,camden!F56,capemay!F56,cumberland!F56,essex!F56,gloucester!F56,hudson!F56,hunterdon!F56,mercer!F56,middlesex!F56,monmouth!F56,morris!F56,ocean!F56,passaic!F56,salem!F56,somerset!F56,sussex!F56,union!F56,warren!F56)</f>
        <v>1.3149</v>
      </c>
      <c r="J56" s="77">
        <f>CHOOSE('Calculation&amp;Summary'!$Q$35,atlantic!G56,bergen!G56,burlington!G56,camden!G56,capemay!G56,cumberland!G56,essex!G56,gloucester!G56,hudson!G56,hunterdon!G56,mercer!G56,middlesex!G56,monmouth!G56,morris!G56,ocean!G56,passaic!G56,salem!G56,somerset!G56,sussex!G56,union!G56,warren!G56)</f>
        <v>1.26</v>
      </c>
      <c r="K56" s="65">
        <f t="shared" si="26"/>
        <v>1381.27</v>
      </c>
      <c r="L56" s="65">
        <f t="shared" si="27"/>
        <v>1096.2460317460318</v>
      </c>
      <c r="M56" s="147">
        <f t="shared" si="28"/>
        <v>44.15</v>
      </c>
      <c r="N56" s="237">
        <f t="shared" si="29"/>
        <v>33.576697847745073</v>
      </c>
      <c r="O56" s="236">
        <f t="shared" si="30"/>
        <v>30628.797619696939</v>
      </c>
      <c r="P56" s="33" t="s">
        <v>1193</v>
      </c>
      <c r="Q56" s="582">
        <f>(Q55-1)*Q54</f>
        <v>7933100.0000000019</v>
      </c>
      <c r="R56" s="631" t="s">
        <v>1281</v>
      </c>
      <c r="S56" s="647"/>
      <c r="T56" s="643"/>
      <c r="U56" s="618"/>
      <c r="V56" s="618"/>
      <c r="W56" s="512"/>
      <c r="X56" s="512"/>
      <c r="Y56" s="512"/>
      <c r="Z56" s="512"/>
      <c r="AA56" s="512"/>
      <c r="AB56" s="512"/>
      <c r="AC56" s="512"/>
      <c r="AD56" s="512"/>
      <c r="AE56" s="512"/>
      <c r="AF56" s="70"/>
      <c r="BH56" s="4">
        <f t="shared" si="31"/>
        <v>18</v>
      </c>
      <c r="BI56" s="5" t="s">
        <v>24</v>
      </c>
      <c r="BJ56" s="65">
        <f t="shared" si="32"/>
        <v>18</v>
      </c>
    </row>
    <row r="57" spans="1:62">
      <c r="A57" s="64" t="str">
        <f t="shared" si="5"/>
        <v>56. Social assistance</v>
      </c>
      <c r="B57" s="64">
        <f t="shared" si="6"/>
        <v>56</v>
      </c>
      <c r="C57" s="64">
        <f t="shared" si="12"/>
        <v>56</v>
      </c>
      <c r="D57" s="181" t="s">
        <v>1657</v>
      </c>
      <c r="E57" s="77">
        <f>CHOOSE('Calculation&amp;Summary'!$Q$35,atlantic!B57,bergen!B57,burlington!B57,camden!B57,capemay!B57,cumberland!B57,essex!B57,gloucester!B57,hudson!B57,hunterdon!B57,mercer!B57,middlesex!B57,monmouth!B57,morris!B57,ocean!B57,passaic!B57,salem!B57,somerset!B57,sussex!B57,union!B57,warren!B57)</f>
        <v>1.6375999999999999</v>
      </c>
      <c r="F57" s="77">
        <f>CHOOSE('Calculation&amp;Summary'!$Q$35,atlantic!C57,bergen!C57,burlington!C57,camden!C57,capemay!C57,cumberland!C57,essex!C57,gloucester!C57,hudson!C57,hunterdon!C57,mercer!C57,middlesex!C57,monmouth!C57,morris!C57,ocean!C57,passaic!C57,salem!C57,somerset!C57,sussex!C57,union!C57,warren!C57)</f>
        <v>0.44890000000000002</v>
      </c>
      <c r="G57" s="77">
        <f>CHOOSE('Calculation&amp;Summary'!$Q$35,atlantic!D57,bergen!D57,burlington!D57,camden!D57,capemay!D57,cumberland!D57,essex!D57,gloucester!D57,hudson!D57,hunterdon!D57,mercer!D57,middlesex!D57,monmouth!D57,morris!D57,ocean!D57,passaic!D57,salem!D57,somerset!D57,sussex!D57,union!D57,warren!D57)</f>
        <v>18.223700000000001</v>
      </c>
      <c r="H57" s="77">
        <f>CHOOSE('Calculation&amp;Summary'!$Q$35,atlantic!E57,bergen!E57,burlington!E57,camden!E57,capemay!E57,cumberland!E57,essex!E57,gloucester!E57,hudson!E57,hunterdon!E57,mercer!E57,middlesex!E57,monmouth!E57,morris!E57,ocean!E57,passaic!E57,salem!E57,somerset!E57,sussex!E57,union!E57,warren!E57)</f>
        <v>1.0311999999999999</v>
      </c>
      <c r="I57" s="77">
        <f>CHOOSE('Calculation&amp;Summary'!$Q$35,atlantic!F57,bergen!F57,burlington!F57,camden!F57,capemay!F57,cumberland!F57,essex!F57,gloucester!F57,hudson!F57,hunterdon!F57,mercer!F57,middlesex!F57,monmouth!F57,morris!F57,ocean!F57,passaic!F57,salem!F57,somerset!F57,sussex!F57,union!F57,warren!F57)</f>
        <v>1.3334999999999999</v>
      </c>
      <c r="J57" s="77">
        <f>CHOOSE('Calculation&amp;Summary'!$Q$35,atlantic!G57,bergen!G57,burlington!G57,camden!G57,capemay!G57,cumberland!G57,essex!G57,gloucester!G57,hudson!G57,hunterdon!G57,mercer!G57,middlesex!G57,monmouth!G57,morris!G57,ocean!G57,passaic!G57,salem!G57,somerset!G57,sussex!G57,union!G57,warren!G57)</f>
        <v>1.1979</v>
      </c>
      <c r="K57" s="65">
        <f t="shared" si="26"/>
        <v>1822.3700000000001</v>
      </c>
      <c r="L57" s="65">
        <f t="shared" si="27"/>
        <v>1521.303948576676</v>
      </c>
      <c r="M57" s="147">
        <f t="shared" si="28"/>
        <v>44.89</v>
      </c>
      <c r="N57" s="237">
        <f t="shared" si="29"/>
        <v>33.663292088488944</v>
      </c>
      <c r="O57" s="236">
        <f t="shared" si="30"/>
        <v>22127.920012292179</v>
      </c>
      <c r="P57" s="33" t="s">
        <v>1269</v>
      </c>
      <c r="Q57" s="552">
        <f>Q56*0.04</f>
        <v>317324.00000000006</v>
      </c>
      <c r="R57" s="54" t="s">
        <v>1489</v>
      </c>
      <c r="S57" s="647"/>
      <c r="T57" s="618"/>
      <c r="U57" s="618"/>
      <c r="V57" s="618"/>
      <c r="AF57" s="70"/>
      <c r="BH57" s="4">
        <f t="shared" si="31"/>
        <v>19</v>
      </c>
      <c r="BI57" s="5" t="s">
        <v>25</v>
      </c>
      <c r="BJ57" s="65">
        <f t="shared" si="32"/>
        <v>19</v>
      </c>
    </row>
    <row r="58" spans="1:62">
      <c r="A58" s="64" t="str">
        <f t="shared" si="5"/>
        <v>57. Performing arts, spectator sports, museums, zoos, and parks</v>
      </c>
      <c r="B58" s="64">
        <f t="shared" si="6"/>
        <v>57</v>
      </c>
      <c r="C58" s="64">
        <f t="shared" si="12"/>
        <v>57</v>
      </c>
      <c r="D58" s="181" t="s">
        <v>1658</v>
      </c>
      <c r="E58" s="77">
        <f>CHOOSE('Calculation&amp;Summary'!$Q$35,atlantic!B58,bergen!B58,burlington!B58,camden!B58,capemay!B58,cumberland!B58,essex!B58,gloucester!B58,hudson!B58,hunterdon!B58,mercer!B58,middlesex!B58,monmouth!B58,morris!B58,ocean!B58,passaic!B58,salem!B58,somerset!B58,sussex!B58,union!B58,warren!B58)</f>
        <v>1.7333000000000001</v>
      </c>
      <c r="F58" s="77">
        <f>CHOOSE('Calculation&amp;Summary'!$Q$35,atlantic!C58,bergen!C58,burlington!C58,camden!C58,capemay!C58,cumberland!C58,essex!C58,gloucester!C58,hudson!C58,hunterdon!C58,mercer!C58,middlesex!C58,monmouth!C58,morris!C58,ocean!C58,passaic!C58,salem!C58,somerset!C58,sussex!C58,union!C58,warren!C58)</f>
        <v>0.46179999999999999</v>
      </c>
      <c r="G58" s="77">
        <f>CHOOSE('Calculation&amp;Summary'!$Q$35,atlantic!D58,bergen!D58,burlington!D58,camden!D58,capemay!D58,cumberland!D58,essex!D58,gloucester!D58,hudson!D58,hunterdon!D58,mercer!D58,middlesex!D58,monmouth!D58,morris!D58,ocean!D58,passaic!D58,salem!D58,somerset!D58,sussex!D58,union!D58,warren!D58)</f>
        <v>15.477399999999999</v>
      </c>
      <c r="H58" s="77">
        <f>CHOOSE('Calculation&amp;Summary'!$Q$35,atlantic!E58,bergen!E58,burlington!E58,camden!E58,capemay!E58,cumberland!E58,essex!E58,gloucester!E58,hudson!E58,hunterdon!E58,mercer!E58,middlesex!E58,monmouth!E58,morris!E58,ocean!E58,passaic!E58,salem!E58,somerset!E58,sussex!E58,union!E58,warren!E58)</f>
        <v>1.0438000000000001</v>
      </c>
      <c r="I58" s="77">
        <f>CHOOSE('Calculation&amp;Summary'!$Q$35,atlantic!F58,bergen!F58,burlington!F58,camden!F58,capemay!F58,cumberland!F58,essex!F58,gloucester!F58,hudson!F58,hunterdon!F58,mercer!F58,middlesex!F58,monmouth!F58,morris!F58,ocean!F58,passaic!F58,salem!F58,somerset!F58,sussex!F58,union!F58,warren!F58)</f>
        <v>1.4648000000000001</v>
      </c>
      <c r="J58" s="77">
        <f>CHOOSE('Calculation&amp;Summary'!$Q$35,atlantic!G58,bergen!G58,burlington!G58,camden!G58,capemay!G58,cumberland!G58,essex!G58,gloucester!G58,hudson!G58,hunterdon!G58,mercer!G58,middlesex!G58,monmouth!G58,morris!G58,ocean!G58,passaic!G58,salem!G58,somerset!G58,sussex!G58,union!G58,warren!G58)</f>
        <v>1.3552999999999999</v>
      </c>
      <c r="K58" s="65">
        <f t="shared" si="26"/>
        <v>1547.74</v>
      </c>
      <c r="L58" s="65">
        <f t="shared" si="27"/>
        <v>1141.9907031653509</v>
      </c>
      <c r="M58" s="147">
        <f t="shared" si="28"/>
        <v>46.18</v>
      </c>
      <c r="N58" s="237">
        <f t="shared" si="29"/>
        <v>31.526488257782631</v>
      </c>
      <c r="O58" s="236">
        <f t="shared" si="30"/>
        <v>27606.606752925425</v>
      </c>
      <c r="P58" s="58"/>
      <c r="Q58" s="62"/>
      <c r="R58" s="54"/>
      <c r="S58" s="647"/>
      <c r="T58" s="618"/>
      <c r="U58" s="618"/>
      <c r="V58" s="618"/>
      <c r="AF58" s="70"/>
      <c r="BH58" s="4">
        <f t="shared" si="31"/>
        <v>20</v>
      </c>
      <c r="BI58" s="5" t="s">
        <v>26</v>
      </c>
      <c r="BJ58" s="65">
        <f t="shared" si="32"/>
        <v>20</v>
      </c>
    </row>
    <row r="59" spans="1:62" ht="26.4" thickBot="1">
      <c r="A59" s="64" t="str">
        <f t="shared" si="5"/>
        <v>58. Amusements, gambling, and recreation</v>
      </c>
      <c r="B59" s="64">
        <f t="shared" si="6"/>
        <v>58</v>
      </c>
      <c r="C59" s="64">
        <f t="shared" si="12"/>
        <v>58</v>
      </c>
      <c r="D59" s="181" t="s">
        <v>1659</v>
      </c>
      <c r="E59" s="77">
        <f>CHOOSE('Calculation&amp;Summary'!$Q$35,atlantic!B59,bergen!B59,burlington!B59,camden!B59,capemay!B59,cumberland!B59,essex!B59,gloucester!B59,hudson!B59,hunterdon!B59,mercer!B59,middlesex!B59,monmouth!B59,morris!B59,ocean!B59,passaic!B59,salem!B59,somerset!B59,sussex!B59,union!B59,warren!B59)</f>
        <v>1.5409999999999999</v>
      </c>
      <c r="F59" s="77">
        <f>CHOOSE('Calculation&amp;Summary'!$Q$35,atlantic!C59,bergen!C59,burlington!C59,camden!C59,capemay!C59,cumberland!C59,essex!C59,gloucester!C59,hudson!C59,hunterdon!C59,mercer!C59,middlesex!C59,monmouth!C59,morris!C59,ocean!C59,passaic!C59,salem!C59,somerset!C59,sussex!C59,union!C59,warren!C59)</f>
        <v>0.34810000000000002</v>
      </c>
      <c r="G59" s="77">
        <f>CHOOSE('Calculation&amp;Summary'!$Q$35,atlantic!D59,bergen!D59,burlington!D59,camden!D59,capemay!D59,cumberland!D59,essex!D59,gloucester!D59,hudson!D59,hunterdon!D59,mercer!D59,middlesex!D59,monmouth!D59,morris!D59,ocean!D59,passaic!D59,salem!D59,somerset!D59,sussex!D59,union!D59,warren!D59)</f>
        <v>16.868200000000002</v>
      </c>
      <c r="H59" s="77">
        <f>CHOOSE('Calculation&amp;Summary'!$Q$35,atlantic!E59,bergen!E59,burlington!E59,camden!E59,capemay!E59,cumberland!E59,essex!E59,gloucester!E59,hudson!E59,hunterdon!E59,mercer!E59,middlesex!E59,monmouth!E59,morris!E59,ocean!E59,passaic!E59,salem!E59,somerset!E59,sussex!E59,union!E59,warren!E59)</f>
        <v>0.98119999999999996</v>
      </c>
      <c r="I59" s="77">
        <f>CHOOSE('Calculation&amp;Summary'!$Q$35,atlantic!F59,bergen!F59,burlington!F59,camden!F59,capemay!F59,cumberland!F59,essex!F59,gloucester!F59,hudson!F59,hunterdon!F59,mercer!F59,middlesex!F59,monmouth!F59,morris!F59,ocean!F59,passaic!F59,salem!F59,somerset!F59,sussex!F59,union!F59,warren!F59)</f>
        <v>1.3742000000000001</v>
      </c>
      <c r="J59" s="77">
        <f>CHOOSE('Calculation&amp;Summary'!$Q$35,atlantic!G59,bergen!G59,burlington!G59,camden!G59,capemay!G59,cumberland!G59,essex!G59,gloucester!G59,hudson!G59,hunterdon!G59,mercer!G59,middlesex!G59,monmouth!G59,morris!G59,ocean!G59,passaic!G59,salem!G59,somerset!G59,sussex!G59,union!G59,warren!G59)</f>
        <v>1.165</v>
      </c>
      <c r="K59" s="65">
        <f t="shared" si="26"/>
        <v>1686.8200000000002</v>
      </c>
      <c r="L59" s="65">
        <f t="shared" si="27"/>
        <v>1447.9141630901288</v>
      </c>
      <c r="M59" s="147">
        <f t="shared" si="28"/>
        <v>34.81</v>
      </c>
      <c r="N59" s="237">
        <f t="shared" si="29"/>
        <v>25.331101731916753</v>
      </c>
      <c r="O59" s="236">
        <f t="shared" si="30"/>
        <v>17494.891878020782</v>
      </c>
      <c r="P59" s="53" t="s">
        <v>1219</v>
      </c>
      <c r="Q59" s="553">
        <f>+Q53</f>
        <v>1529969.7896570209</v>
      </c>
      <c r="R59" s="54" t="s">
        <v>1202</v>
      </c>
      <c r="S59" s="649"/>
      <c r="T59" s="617"/>
      <c r="U59" s="617"/>
      <c r="V59" s="617"/>
      <c r="X59" s="71"/>
      <c r="AF59" s="70"/>
      <c r="BH59" s="6">
        <f t="shared" si="31"/>
        <v>21</v>
      </c>
      <c r="BI59" s="7" t="s">
        <v>27</v>
      </c>
      <c r="BJ59" s="65">
        <f t="shared" si="32"/>
        <v>21</v>
      </c>
    </row>
    <row r="60" spans="1:62" ht="26.4" thickBot="1">
      <c r="A60" s="64" t="str">
        <f t="shared" si="5"/>
        <v>59. Accommodation</v>
      </c>
      <c r="B60" s="64">
        <f t="shared" si="6"/>
        <v>59</v>
      </c>
      <c r="C60" s="64">
        <f t="shared" si="12"/>
        <v>59</v>
      </c>
      <c r="D60" s="181" t="s">
        <v>1660</v>
      </c>
      <c r="E60" s="77">
        <f>CHOOSE('Calculation&amp;Summary'!$Q$35,atlantic!B60,bergen!B60,burlington!B60,camden!B60,capemay!B60,cumberland!B60,essex!B60,gloucester!B60,hudson!B60,hunterdon!B60,mercer!B60,middlesex!B60,monmouth!B60,morris!B60,ocean!B60,passaic!B60,salem!B60,somerset!B60,sussex!B60,union!B60,warren!B60)</f>
        <v>1.6397999999999999</v>
      </c>
      <c r="F60" s="77">
        <f>CHOOSE('Calculation&amp;Summary'!$Q$35,atlantic!C60,bergen!C60,burlington!C60,camden!C60,capemay!C60,cumberland!C60,essex!C60,gloucester!C60,hudson!C60,hunterdon!C60,mercer!C60,middlesex!C60,monmouth!C60,morris!C60,ocean!C60,passaic!C60,salem!C60,somerset!C60,sussex!C60,union!C60,warren!C60)</f>
        <v>0.3019</v>
      </c>
      <c r="G60" s="77">
        <f>CHOOSE('Calculation&amp;Summary'!$Q$35,atlantic!D60,bergen!D60,burlington!D60,camden!D60,capemay!D60,cumberland!D60,essex!D60,gloucester!D60,hudson!D60,hunterdon!D60,mercer!D60,middlesex!D60,monmouth!D60,morris!D60,ocean!D60,passaic!D60,salem!D60,somerset!D60,sussex!D60,union!D60,warren!D60)</f>
        <v>8.3155999999999999</v>
      </c>
      <c r="H60" s="77">
        <f>CHOOSE('Calculation&amp;Summary'!$Q$35,atlantic!E60,bergen!E60,burlington!E60,camden!E60,capemay!E60,cumberland!E60,essex!E60,gloucester!E60,hudson!E60,hunterdon!E60,mercer!E60,middlesex!E60,monmouth!E60,morris!E60,ocean!E60,passaic!E60,salem!E60,somerset!E60,sussex!E60,union!E60,warren!E60)</f>
        <v>0.93230000000000002</v>
      </c>
      <c r="I60" s="77">
        <f>CHOOSE('Calculation&amp;Summary'!$Q$35,atlantic!F60,bergen!F60,burlington!F60,camden!F60,capemay!F60,cumberland!F60,essex!F60,gloucester!F60,hudson!F60,hunterdon!F60,mercer!F60,middlesex!F60,monmouth!F60,morris!F60,ocean!F60,passaic!F60,salem!F60,somerset!F60,sussex!F60,union!F60,warren!F60)</f>
        <v>1.6765000000000001</v>
      </c>
      <c r="J60" s="77">
        <f>CHOOSE('Calculation&amp;Summary'!$Q$35,atlantic!G60,bergen!G60,burlington!G60,camden!G60,capemay!G60,cumberland!G60,essex!G60,gloucester!G60,hudson!G60,hunterdon!G60,mercer!G60,middlesex!G60,monmouth!G60,morris!G60,ocean!G60,passaic!G60,salem!G60,somerset!G60,sussex!G60,union!G60,warren!G60)</f>
        <v>1.5487</v>
      </c>
      <c r="K60" s="65">
        <f t="shared" si="26"/>
        <v>831.56</v>
      </c>
      <c r="L60" s="65">
        <f t="shared" si="27"/>
        <v>536.94065990831018</v>
      </c>
      <c r="M60" s="147">
        <f t="shared" si="28"/>
        <v>30.19</v>
      </c>
      <c r="N60" s="237">
        <f t="shared" si="29"/>
        <v>18.007754249925441</v>
      </c>
      <c r="O60" s="236">
        <f t="shared" si="30"/>
        <v>33537.699031771052</v>
      </c>
      <c r="P60" s="30"/>
      <c r="Q60" s="29"/>
      <c r="R60" s="29"/>
      <c r="S60" s="647"/>
      <c r="T60" s="618"/>
      <c r="U60" s="618"/>
      <c r="V60" s="618"/>
      <c r="X60" s="71"/>
      <c r="AF60" s="70"/>
    </row>
    <row r="61" spans="1:62">
      <c r="A61" s="64" t="str">
        <f t="shared" si="5"/>
        <v>60. Food services and drinking places</v>
      </c>
      <c r="B61" s="64">
        <f t="shared" si="6"/>
        <v>60</v>
      </c>
      <c r="C61" s="64">
        <f t="shared" si="12"/>
        <v>60</v>
      </c>
      <c r="D61" s="181" t="s">
        <v>1661</v>
      </c>
      <c r="E61" s="77">
        <f>CHOOSE('Calculation&amp;Summary'!$Q$35,atlantic!B61,bergen!B61,burlington!B61,camden!B61,capemay!B61,cumberland!B61,essex!B61,gloucester!B61,hudson!B61,hunterdon!B61,mercer!B61,middlesex!B61,monmouth!B61,morris!B61,ocean!B61,passaic!B61,salem!B61,somerset!B61,sussex!B61,union!B61,warren!B61)</f>
        <v>1.5893999999999999</v>
      </c>
      <c r="F61" s="77">
        <f>CHOOSE('Calculation&amp;Summary'!$Q$35,atlantic!C61,bergen!C61,burlington!C61,camden!C61,capemay!C61,cumberland!C61,essex!C61,gloucester!C61,hudson!C61,hunterdon!C61,mercer!C61,middlesex!C61,monmouth!C61,morris!C61,ocean!C61,passaic!C61,salem!C61,somerset!C61,sussex!C61,union!C61,warren!C61)</f>
        <v>0.31730000000000003</v>
      </c>
      <c r="G61" s="77">
        <f>CHOOSE('Calculation&amp;Summary'!$Q$35,atlantic!D61,bergen!D61,burlington!D61,camden!D61,capemay!D61,cumberland!D61,essex!D61,gloucester!D61,hudson!D61,hunterdon!D61,mercer!D61,middlesex!D61,monmouth!D61,morris!D61,ocean!D61,passaic!D61,salem!D61,somerset!D61,sussex!D61,union!D61,warren!D61)</f>
        <v>13.796900000000001</v>
      </c>
      <c r="H61" s="77">
        <f>CHOOSE('Calculation&amp;Summary'!$Q$35,atlantic!E61,bergen!E61,burlington!E61,camden!E61,capemay!E61,cumberland!E61,essex!E61,gloucester!E61,hudson!E61,hunterdon!E61,mercer!E61,middlesex!E61,monmouth!E61,morris!E61,ocean!E61,passaic!E61,salem!E61,somerset!E61,sussex!E61,union!E61,warren!E61)</f>
        <v>0.88700000000000001</v>
      </c>
      <c r="I61" s="77">
        <f>CHOOSE('Calculation&amp;Summary'!$Q$35,atlantic!F61,bergen!F61,burlington!F61,camden!F61,capemay!F61,cumberland!F61,essex!F61,gloucester!F61,hudson!F61,hunterdon!F61,mercer!F61,middlesex!F61,monmouth!F61,morris!F61,ocean!F61,passaic!F61,salem!F61,somerset!F61,sussex!F61,union!F61,warren!F61)</f>
        <v>1.4512</v>
      </c>
      <c r="J61" s="77">
        <f>CHOOSE('Calculation&amp;Summary'!$Q$35,atlantic!G61,bergen!G61,burlington!G61,camden!G61,capemay!G61,cumberland!G61,essex!G61,gloucester!G61,hudson!G61,hunterdon!G61,mercer!G61,middlesex!G61,monmouth!G61,morris!G61,ocean!G61,passaic!G61,salem!G61,somerset!G61,sussex!G61,union!G61,warren!G61)</f>
        <v>1.2104999999999999</v>
      </c>
      <c r="K61" s="65">
        <f t="shared" si="26"/>
        <v>1379.69</v>
      </c>
      <c r="L61" s="65">
        <f t="shared" si="27"/>
        <v>1139.7686906237093</v>
      </c>
      <c r="M61" s="147">
        <f t="shared" si="28"/>
        <v>31.730000000000004</v>
      </c>
      <c r="N61" s="237">
        <f t="shared" si="29"/>
        <v>21.864663726571116</v>
      </c>
      <c r="O61" s="236">
        <f t="shared" si="30"/>
        <v>19183.421957841496</v>
      </c>
      <c r="P61" s="55" t="s">
        <v>1198</v>
      </c>
      <c r="Q61" s="29"/>
      <c r="R61" s="54"/>
      <c r="S61" s="650"/>
      <c r="T61" s="618"/>
      <c r="U61" s="618"/>
      <c r="V61" s="618"/>
      <c r="AF61" s="70"/>
      <c r="AG61" s="113"/>
      <c r="AH61" s="128" t="s">
        <v>1244</v>
      </c>
      <c r="AI61" s="128"/>
      <c r="AJ61" s="89"/>
    </row>
    <row r="62" spans="1:62">
      <c r="A62" s="64" t="str">
        <f t="shared" si="5"/>
        <v>61. Other services*</v>
      </c>
      <c r="B62" s="64">
        <f t="shared" ref="B62:B63" si="36">C62</f>
        <v>61</v>
      </c>
      <c r="C62" s="64">
        <f t="shared" si="12"/>
        <v>61</v>
      </c>
      <c r="D62" s="181" t="s">
        <v>1662</v>
      </c>
      <c r="E62" s="77">
        <f>CHOOSE('Calculation&amp;Summary'!$Q$35,atlantic!B62,bergen!B62,burlington!B62,camden!B62,capemay!B62,cumberland!B62,essex!B62,gloucester!B62,hudson!B62,hunterdon!B62,mercer!B62,middlesex!B62,monmouth!B62,morris!B62,ocean!B62,passaic!B62,salem!B62,somerset!B62,sussex!B62,union!B62,warren!B62)</f>
        <v>1.6781999999999999</v>
      </c>
      <c r="F62" s="77">
        <f>CHOOSE('Calculation&amp;Summary'!$Q$35,atlantic!C62,bergen!C62,burlington!C62,camden!C62,capemay!C62,cumberland!C62,essex!C62,gloucester!C62,hudson!C62,hunterdon!C62,mercer!C62,middlesex!C62,monmouth!C62,morris!C62,ocean!C62,passaic!C62,salem!C62,somerset!C62,sussex!C62,union!C62,warren!C62)</f>
        <v>0.39419999999999999</v>
      </c>
      <c r="G62" s="77">
        <f>CHOOSE('Calculation&amp;Summary'!$Q$35,atlantic!D62,bergen!D62,burlington!D62,camden!D62,capemay!D62,cumberland!D62,essex!D62,gloucester!D62,hudson!D62,hunterdon!D62,mercer!D62,middlesex!D62,monmouth!D62,morris!D62,ocean!D62,passaic!D62,salem!D62,somerset!D62,sussex!D62,union!D62,warren!D62)</f>
        <v>10.0266</v>
      </c>
      <c r="H62" s="77">
        <f>CHOOSE('Calculation&amp;Summary'!$Q$35,atlantic!E62,bergen!E62,burlington!E62,camden!E62,capemay!E62,cumberland!E62,essex!E62,gloucester!E62,hudson!E62,hunterdon!E62,mercer!E62,middlesex!E62,monmouth!E62,morris!E62,ocean!E62,passaic!E62,salem!E62,somerset!E62,sussex!E62,union!E62,warren!E62)</f>
        <v>0.96799999999999997</v>
      </c>
      <c r="I62" s="77">
        <f>CHOOSE('Calculation&amp;Summary'!$Q$35,atlantic!F62,bergen!F62,burlington!F62,camden!F62,capemay!F62,cumberland!F62,essex!F62,gloucester!F62,hudson!F62,hunterdon!F62,mercer!F62,middlesex!F62,monmouth!F62,morris!F62,ocean!F62,passaic!F62,salem!F62,somerset!F62,sussex!F62,union!F62,warren!F62)</f>
        <v>1.4472</v>
      </c>
      <c r="J62" s="77">
        <f>CHOOSE('Calculation&amp;Summary'!$Q$35,atlantic!G62,bergen!G62,burlington!G62,camden!G62,capemay!G62,cumberland!G62,essex!G62,gloucester!G62,hudson!G62,hunterdon!G62,mercer!G62,middlesex!G62,monmouth!G62,morris!G62,ocean!G62,passaic!G62,salem!G62,somerset!G62,sussex!G62,union!G62,warren!G62)</f>
        <v>1.4346000000000001</v>
      </c>
      <c r="K62" s="65">
        <f t="shared" ref="K62:K63" si="37">100*G62</f>
        <v>1002.66</v>
      </c>
      <c r="L62" s="65">
        <f t="shared" ref="L62" si="38">K62/J62</f>
        <v>698.91258887494769</v>
      </c>
      <c r="M62" s="147">
        <f t="shared" ref="M62:M63" si="39">100*F62</f>
        <v>39.42</v>
      </c>
      <c r="N62" s="237">
        <f t="shared" ref="N62:N63" si="40">M62/I62</f>
        <v>27.238805970149254</v>
      </c>
      <c r="O62" s="236">
        <f t="shared" ref="O62:O63" si="41">(N62/L62)*1000000</f>
        <v>38973.122538822856</v>
      </c>
      <c r="P62" s="56" t="s">
        <v>50</v>
      </c>
      <c r="Q62" s="554">
        <f>Q57+Q53+Q47</f>
        <v>5527293.7896570209</v>
      </c>
      <c r="R62" s="54" t="s">
        <v>1212</v>
      </c>
      <c r="S62" s="650"/>
      <c r="T62" s="618"/>
      <c r="U62" s="618"/>
      <c r="V62" s="618"/>
      <c r="X62" s="71"/>
      <c r="AF62" s="70">
        <v>3449031.32</v>
      </c>
      <c r="AG62" s="94">
        <v>1</v>
      </c>
      <c r="AH62" s="75">
        <f>IF(AF62&lt;&gt;0,AF62,Q62)</f>
        <v>3449031.32</v>
      </c>
      <c r="AI62" s="75">
        <f>AH62</f>
        <v>3449031.32</v>
      </c>
      <c r="AJ62" s="91"/>
    </row>
    <row r="63" spans="1:62">
      <c r="A63" s="64" t="str">
        <f t="shared" si="5"/>
        <v>62. Households</v>
      </c>
      <c r="B63" s="64">
        <f t="shared" si="36"/>
        <v>62</v>
      </c>
      <c r="C63" s="64">
        <f t="shared" si="12"/>
        <v>62</v>
      </c>
      <c r="D63" s="181" t="s">
        <v>1663</v>
      </c>
      <c r="E63" s="77">
        <f>CHOOSE('Calculation&amp;Summary'!$Q$35,atlantic!B63,bergen!B63,burlington!B63,camden!B63,capemay!B63,cumberland!B63,essex!B63,gloucester!B63,hudson!B63,hunterdon!B63,mercer!B63,middlesex!B63,monmouth!B63,morris!B63,ocean!B63,passaic!B63,salem!B63,somerset!B63,sussex!B63,union!B63,warren!B63)</f>
        <v>0.91369999999999996</v>
      </c>
      <c r="F63" s="77">
        <f>CHOOSE('Calculation&amp;Summary'!$Q$35,atlantic!C63,bergen!C63,burlington!C63,camden!C63,capemay!C63,cumberland!C63,essex!C63,gloucester!C63,hudson!C63,hunterdon!C63,mercer!C63,middlesex!C63,monmouth!C63,morris!C63,ocean!C63,passaic!C63,salem!C63,somerset!C63,sussex!C63,union!C63,warren!C63)</f>
        <v>0.1608</v>
      </c>
      <c r="G63" s="77">
        <f>CHOOSE('Calculation&amp;Summary'!$Q$35,atlantic!D63,bergen!D63,burlington!D63,camden!D63,capemay!D63,cumberland!D63,essex!D63,gloucester!D63,hudson!D63,hunterdon!D63,mercer!D63,middlesex!D63,monmouth!D63,morris!D63,ocean!D63,passaic!D63,salem!D63,somerset!D63,sussex!D63,union!D63,warren!D63)</f>
        <v>4.5896999999999997</v>
      </c>
      <c r="H63" s="77">
        <f>CHOOSE('Calculation&amp;Summary'!$Q$35,atlantic!E63,bergen!E63,burlington!E63,camden!E63,capemay!E63,cumberland!E63,essex!E63,gloucester!E63,hudson!E63,hunterdon!E63,mercer!E63,middlesex!E63,monmouth!E63,morris!E63,ocean!E63,passaic!E63,salem!E63,somerset!E63,sussex!E63,union!E63,warren!E63)</f>
        <v>0.56489999999999996</v>
      </c>
      <c r="I63" s="77">
        <f>CHOOSE('Calculation&amp;Summary'!$Q$35,atlantic!F63,bergen!F63,burlington!F63,camden!F63,capemay!F63,cumberland!F63,essex!F63,gloucester!F63,hudson!F63,hunterdon!F63,mercer!F63,middlesex!F63,monmouth!F63,morris!F63,ocean!F63,passaic!F63,salem!F63,somerset!F63,sussex!F63,union!F63,warren!F63)</f>
        <v>0</v>
      </c>
      <c r="J63" s="77">
        <f>CHOOSE('Calculation&amp;Summary'!$Q$35,atlantic!G63,bergen!G63,burlington!G63,camden!G63,capemay!G63,cumberland!G63,essex!G63,gloucester!G63,hudson!G63,hunterdon!G63,mercer!G63,middlesex!G63,monmouth!G63,morris!G63,ocean!G63,passaic!G63,salem!G63,somerset!G63,sussex!G63,union!G63,warren!G63)</f>
        <v>0</v>
      </c>
      <c r="K63" s="65">
        <f t="shared" si="37"/>
        <v>458.96999999999997</v>
      </c>
      <c r="L63" s="65" t="e">
        <f>K63/J63</f>
        <v>#DIV/0!</v>
      </c>
      <c r="M63" s="147">
        <f t="shared" si="39"/>
        <v>16.079999999999998</v>
      </c>
      <c r="N63" s="237" t="e">
        <f t="shared" si="40"/>
        <v>#DIV/0!</v>
      </c>
      <c r="O63" s="236" t="e">
        <f t="shared" si="41"/>
        <v>#DIV/0!</v>
      </c>
      <c r="P63" s="33" t="s">
        <v>1681</v>
      </c>
      <c r="Q63" s="555">
        <f>SUM(AH62:AH96)</f>
        <v>295538264.70458066</v>
      </c>
      <c r="R63" s="54"/>
      <c r="S63" s="651"/>
      <c r="T63" s="618"/>
      <c r="U63" s="618"/>
      <c r="V63" s="618"/>
      <c r="X63" s="75"/>
      <c r="AF63" s="70"/>
      <c r="AG63" s="94">
        <f>IF(MAX($AG$62:AG62)&gt;=$Q$64,"",AG62+1)</f>
        <v>2</v>
      </c>
      <c r="AH63" s="75">
        <f>IF(AG63="","", AH62*1.03)</f>
        <v>3552502.2596</v>
      </c>
      <c r="AI63" s="75">
        <f>IF(AH63="","",AH63+AI62)</f>
        <v>7001533.5795999998</v>
      </c>
      <c r="AJ63" s="91"/>
    </row>
    <row r="64" spans="1:62">
      <c r="E64" s="77"/>
      <c r="F64" s="77"/>
      <c r="G64" s="77"/>
      <c r="H64" s="77"/>
      <c r="I64" s="77"/>
      <c r="J64" s="77"/>
      <c r="M64" s="147"/>
      <c r="N64" s="237"/>
      <c r="O64" s="236"/>
      <c r="P64" s="601" t="s">
        <v>1672</v>
      </c>
      <c r="Q64" s="600">
        <v>35</v>
      </c>
      <c r="R64" s="631" t="s">
        <v>1676</v>
      </c>
      <c r="S64" s="651"/>
      <c r="T64" s="618"/>
      <c r="U64" s="618"/>
      <c r="V64" s="618"/>
      <c r="X64" s="75"/>
      <c r="AF64" s="70"/>
      <c r="AG64" s="94">
        <f>IF(MAX($AG$62:AG63)&gt;=$Q$64,"",AG63+1)</f>
        <v>3</v>
      </c>
      <c r="AH64" s="75">
        <f t="shared" ref="AH64:AH96" si="42">IF(AG64="","", AH63*1.03)</f>
        <v>3659077.3273880002</v>
      </c>
      <c r="AI64" s="75">
        <f t="shared" ref="AI64:AI96" si="43">IF(AH64="","",AH64+AI63)</f>
        <v>10660610.906988</v>
      </c>
      <c r="AJ64" s="91"/>
    </row>
    <row r="65" spans="5:36" ht="26.4" thickBot="1">
      <c r="E65" s="263"/>
      <c r="P65" s="35" t="s">
        <v>1199</v>
      </c>
      <c r="Q65" s="556">
        <f>NPV(0.06,AH62:AH96)</f>
        <v>92551569.955073044</v>
      </c>
      <c r="R65" s="632" t="s">
        <v>1203</v>
      </c>
      <c r="S65" s="647"/>
      <c r="T65" s="618"/>
      <c r="U65" s="618"/>
      <c r="V65" s="618"/>
      <c r="AF65" s="70"/>
      <c r="AG65" s="94">
        <f>IF(MAX($AG$62:AG64)&gt;=$Q$64,"",AG64+1)</f>
        <v>4</v>
      </c>
      <c r="AH65" s="75">
        <f t="shared" si="42"/>
        <v>3768849.6472096401</v>
      </c>
      <c r="AI65" s="75">
        <f t="shared" si="43"/>
        <v>14429460.554197641</v>
      </c>
      <c r="AJ65" s="91"/>
    </row>
    <row r="66" spans="5:36">
      <c r="E66" s="263"/>
      <c r="P66" s="57"/>
      <c r="Q66" s="54"/>
      <c r="R66" s="54"/>
      <c r="S66" s="647"/>
      <c r="T66" s="618"/>
      <c r="U66" s="618"/>
      <c r="V66" s="618"/>
      <c r="AG66" s="94">
        <f>IF(MAX($AG$62:AG65)&gt;=$Q$64,"",AG65+1)</f>
        <v>5</v>
      </c>
      <c r="AH66" s="75">
        <f t="shared" si="42"/>
        <v>3881915.1366259293</v>
      </c>
      <c r="AI66" s="75">
        <f t="shared" si="43"/>
        <v>18311375.69082357</v>
      </c>
      <c r="AJ66" s="91"/>
    </row>
    <row r="67" spans="5:36">
      <c r="P67" s="59" t="s">
        <v>30</v>
      </c>
      <c r="Q67" s="54"/>
      <c r="R67" s="54"/>
      <c r="S67" s="647"/>
      <c r="T67" s="618"/>
      <c r="U67" s="618"/>
      <c r="V67" s="618"/>
      <c r="AG67" s="94">
        <f>IF(MAX($AG$62:AG66)&gt;=$Q$64,"",AG66+1)</f>
        <v>6</v>
      </c>
      <c r="AH67" s="75">
        <f t="shared" si="42"/>
        <v>3998372.5907247071</v>
      </c>
      <c r="AI67" s="75">
        <f t="shared" si="43"/>
        <v>22309748.281548277</v>
      </c>
      <c r="AJ67" s="91"/>
    </row>
    <row r="68" spans="5:36">
      <c r="P68" s="251" t="s">
        <v>33</v>
      </c>
      <c r="Q68" s="557">
        <f>IF(300*W10&gt;=Assumptions!E109,Assumptions!E109,Assumptions!E109)</f>
        <v>79084106</v>
      </c>
      <c r="R68" s="633" t="s">
        <v>1241</v>
      </c>
      <c r="S68" s="647"/>
      <c r="T68" s="618"/>
      <c r="U68" s="618"/>
      <c r="V68" s="618"/>
      <c r="AG68" s="94">
        <f>IF(MAX($AG$62:AG67)&gt;=$Q$64,"",AG67+1)</f>
        <v>7</v>
      </c>
      <c r="AH68" s="75">
        <f t="shared" si="42"/>
        <v>4118323.7684464483</v>
      </c>
      <c r="AI68" s="75">
        <f t="shared" si="43"/>
        <v>26428072.049994726</v>
      </c>
      <c r="AJ68" s="91"/>
    </row>
    <row r="69" spans="5:36">
      <c r="E69" s="263"/>
      <c r="P69" s="252" t="s">
        <v>1213</v>
      </c>
      <c r="Q69" s="558">
        <f>Q68*Q72</f>
        <v>5535887.4200000009</v>
      </c>
      <c r="R69" s="634" t="s">
        <v>1334</v>
      </c>
      <c r="S69" s="652"/>
      <c r="T69" s="624"/>
      <c r="U69" s="617" t="s">
        <v>1491</v>
      </c>
      <c r="V69" s="624"/>
      <c r="AG69" s="94">
        <f>IF(MAX($AG$62:AG68)&gt;=$Q$64,"",AG68+1)</f>
        <v>8</v>
      </c>
      <c r="AH69" s="75">
        <f t="shared" si="42"/>
        <v>4241873.4814998414</v>
      </c>
      <c r="AI69" s="75">
        <f t="shared" si="43"/>
        <v>30669945.531494565</v>
      </c>
      <c r="AJ69" s="91"/>
    </row>
    <row r="70" spans="5:36">
      <c r="P70" s="252" t="s">
        <v>1283</v>
      </c>
      <c r="Q70" s="254">
        <f>E8</f>
        <v>1.6004</v>
      </c>
      <c r="R70" s="29"/>
      <c r="S70" s="646"/>
      <c r="T70" s="617"/>
      <c r="U70" s="617" t="s">
        <v>1492</v>
      </c>
      <c r="V70" s="617"/>
      <c r="AG70" s="94">
        <f>IF(MAX($AG$62:AG69)&gt;=$Q$64,"",AG69+1)</f>
        <v>9</v>
      </c>
      <c r="AH70" s="75">
        <f t="shared" si="42"/>
        <v>4369129.6859448366</v>
      </c>
      <c r="AI70" s="75">
        <f t="shared" si="43"/>
        <v>35039075.217439398</v>
      </c>
      <c r="AJ70" s="91"/>
    </row>
    <row r="71" spans="5:36">
      <c r="P71" s="252" t="s">
        <v>1196</v>
      </c>
      <c r="Q71" s="558">
        <f>(Q70-1)*Q68</f>
        <v>47482097.242400005</v>
      </c>
      <c r="R71" s="29"/>
      <c r="S71" s="646"/>
      <c r="T71" s="617"/>
      <c r="U71" s="617"/>
      <c r="V71" s="617"/>
      <c r="X71" s="71"/>
      <c r="AG71" s="94">
        <f>IF(MAX($AG$62:AG70)&gt;=$Q$64,"",AG70+1)</f>
        <v>10</v>
      </c>
      <c r="AH71" s="75">
        <f t="shared" si="42"/>
        <v>4500203.576523182</v>
      </c>
      <c r="AI71" s="75">
        <f t="shared" si="43"/>
        <v>39539278.793962583</v>
      </c>
      <c r="AJ71" s="91"/>
    </row>
    <row r="72" spans="5:36">
      <c r="P72" s="252" t="s">
        <v>1207</v>
      </c>
      <c r="Q72" s="255">
        <v>7.0000000000000007E-2</v>
      </c>
      <c r="R72" s="29"/>
      <c r="S72" s="646"/>
      <c r="T72" s="617"/>
      <c r="U72" s="617"/>
      <c r="V72" s="617"/>
      <c r="AG72" s="94">
        <f>IF(MAX($AG$62:AG71)&gt;=$Q$64,"",AG71+1)</f>
        <v>11</v>
      </c>
      <c r="AH72" s="75">
        <f t="shared" si="42"/>
        <v>4635209.6838188777</v>
      </c>
      <c r="AI72" s="75">
        <f t="shared" si="43"/>
        <v>44174488.47778146</v>
      </c>
      <c r="AJ72" s="91"/>
    </row>
    <row r="73" spans="5:36">
      <c r="P73" s="252" t="s">
        <v>1211</v>
      </c>
      <c r="Q73" s="558">
        <f>IF(Assumptions!E115="x",(Q72*Q71),(Q72*Q71)+Q69)</f>
        <v>8859634.2269680016</v>
      </c>
      <c r="R73" s="635"/>
      <c r="S73" s="646"/>
      <c r="T73" s="617"/>
      <c r="U73" s="617"/>
      <c r="V73" s="617"/>
      <c r="X73" s="71"/>
      <c r="AG73" s="94">
        <f>IF(MAX($AG$62:AG72)&gt;=$Q$64,"",AG72+1)</f>
        <v>12</v>
      </c>
      <c r="AH73" s="75">
        <f t="shared" si="42"/>
        <v>4774265.9743334437</v>
      </c>
      <c r="AI73" s="75">
        <f t="shared" si="43"/>
        <v>48948754.452114902</v>
      </c>
      <c r="AJ73" s="91"/>
    </row>
    <row r="74" spans="5:36">
      <c r="P74" s="252"/>
      <c r="Q74" s="253"/>
      <c r="R74" s="29"/>
      <c r="S74" s="646"/>
      <c r="T74" s="617"/>
      <c r="U74" s="617"/>
      <c r="V74" s="617"/>
      <c r="X74" s="73"/>
      <c r="AG74" s="94">
        <f>IF(MAX($AG$62:AG73)&gt;=$Q$64,"",AG73+1)</f>
        <v>13</v>
      </c>
      <c r="AH74" s="75">
        <f t="shared" si="42"/>
        <v>4917493.9535634471</v>
      </c>
      <c r="AI74" s="75">
        <f t="shared" si="43"/>
        <v>53866248.405678347</v>
      </c>
      <c r="AJ74" s="91"/>
    </row>
    <row r="75" spans="5:36">
      <c r="P75" s="252" t="s">
        <v>1205</v>
      </c>
      <c r="Q75" s="256">
        <v>1</v>
      </c>
      <c r="R75" s="636" t="s">
        <v>1240</v>
      </c>
      <c r="S75" s="646"/>
      <c r="T75" s="617"/>
      <c r="U75" s="617"/>
      <c r="V75" s="617"/>
      <c r="X75" s="73"/>
      <c r="AG75" s="94">
        <f>IF(MAX($AG$62:AG74)&gt;=$Q$64,"",AG74+1)</f>
        <v>14</v>
      </c>
      <c r="AH75" s="75">
        <f t="shared" si="42"/>
        <v>5065018.7721703509</v>
      </c>
      <c r="AI75" s="75">
        <f t="shared" si="43"/>
        <v>58931267.177848697</v>
      </c>
      <c r="AJ75" s="91"/>
    </row>
    <row r="76" spans="5:36">
      <c r="P76" s="252" t="s">
        <v>1206</v>
      </c>
      <c r="Q76" s="558">
        <f>Q75*Q68</f>
        <v>79084106</v>
      </c>
      <c r="R76" s="29"/>
      <c r="S76" s="646"/>
      <c r="T76" s="617"/>
      <c r="U76" s="617"/>
      <c r="V76" s="617"/>
      <c r="AG76" s="94">
        <f>IF(MAX($AG$62:AG75)&gt;=$Q$64,"",AG75+1)</f>
        <v>15</v>
      </c>
      <c r="AH76" s="75">
        <f t="shared" si="42"/>
        <v>5216969.3353354614</v>
      </c>
      <c r="AI76" s="75">
        <f t="shared" si="43"/>
        <v>64148236.51318416</v>
      </c>
      <c r="AJ76" s="91"/>
    </row>
    <row r="77" spans="5:36">
      <c r="P77" s="252" t="s">
        <v>1208</v>
      </c>
      <c r="Q77" s="257">
        <v>0.05</v>
      </c>
      <c r="R77" s="636" t="s">
        <v>1240</v>
      </c>
      <c r="S77" s="653"/>
      <c r="T77" s="617"/>
      <c r="U77" s="617"/>
      <c r="V77" s="617"/>
      <c r="AF77" s="65">
        <v>8611343.6300000008</v>
      </c>
      <c r="AG77" s="94">
        <f>IF(MAX($AG$62:AG76)&gt;=$Q$64,"",AG76+1)</f>
        <v>16</v>
      </c>
      <c r="AH77" s="75">
        <f>IF(AF77&lt;&gt;0,AF77,IF(AG77="","", AH76*1.03))</f>
        <v>8611343.6300000008</v>
      </c>
      <c r="AI77" s="75">
        <f t="shared" si="43"/>
        <v>72759580.143184155</v>
      </c>
      <c r="AJ77" s="91"/>
    </row>
    <row r="78" spans="5:36">
      <c r="P78" s="252" t="s">
        <v>1209</v>
      </c>
      <c r="Q78" s="558">
        <f>Q77*Q76</f>
        <v>3954205.3000000003</v>
      </c>
      <c r="R78" s="29"/>
      <c r="S78" s="646"/>
      <c r="T78" s="617"/>
      <c r="U78" s="617"/>
      <c r="V78" s="617"/>
      <c r="Z78" s="75"/>
      <c r="AG78" s="94">
        <f>IF(MAX($AG$62:AG77)&gt;=$Q$64,"",AG77+1)</f>
        <v>17</v>
      </c>
      <c r="AH78" s="75">
        <f t="shared" si="42"/>
        <v>8869683.9389000013</v>
      </c>
      <c r="AI78" s="75">
        <f t="shared" si="43"/>
        <v>81629264.082084149</v>
      </c>
      <c r="AJ78" s="91"/>
    </row>
    <row r="79" spans="5:36">
      <c r="P79" s="252"/>
      <c r="Q79" s="253"/>
      <c r="R79" s="29"/>
      <c r="S79" s="646"/>
      <c r="T79" s="617"/>
      <c r="U79" s="617"/>
      <c r="V79" s="617"/>
      <c r="AG79" s="94">
        <f>IF(MAX($AG$62:AG78)&gt;=$Q$64,"",AG78+1)</f>
        <v>18</v>
      </c>
      <c r="AH79" s="75">
        <f t="shared" si="42"/>
        <v>9135774.4570670016</v>
      </c>
      <c r="AI79" s="75">
        <f t="shared" si="43"/>
        <v>90765038.539151147</v>
      </c>
      <c r="AJ79" s="91"/>
    </row>
    <row r="80" spans="5:36">
      <c r="P80" s="252" t="s">
        <v>1284</v>
      </c>
      <c r="Q80" s="254">
        <f>I8</f>
        <v>1.4762999999999999</v>
      </c>
      <c r="R80" s="29"/>
      <c r="S80" s="646"/>
      <c r="T80" s="617"/>
      <c r="U80" s="617"/>
      <c r="V80" s="617"/>
      <c r="X80" s="68"/>
      <c r="AG80" s="94">
        <f>IF(MAX($AG$62:AG79)&gt;=$Q$64,"",AG79+1)</f>
        <v>19</v>
      </c>
      <c r="AH80" s="75">
        <f t="shared" si="42"/>
        <v>9409847.6907790117</v>
      </c>
      <c r="AI80" s="75">
        <f t="shared" si="43"/>
        <v>100174886.22993016</v>
      </c>
      <c r="AJ80" s="91"/>
    </row>
    <row r="81" spans="14:36">
      <c r="P81" s="252" t="s">
        <v>1220</v>
      </c>
      <c r="Q81" s="558">
        <f>Q76*(Q80-1)</f>
        <v>37667759.687799998</v>
      </c>
      <c r="R81" s="29"/>
      <c r="S81" s="646"/>
      <c r="T81" s="617"/>
      <c r="U81" s="617"/>
      <c r="V81" s="617"/>
      <c r="AG81" s="94">
        <f>IF(MAX($AG$62:AG80)&gt;=$Q$64,"",AG80+1)</f>
        <v>20</v>
      </c>
      <c r="AH81" s="75">
        <f t="shared" si="42"/>
        <v>9692143.1215023827</v>
      </c>
      <c r="AI81" s="75">
        <f t="shared" si="43"/>
        <v>109867029.35143255</v>
      </c>
      <c r="AJ81" s="91"/>
    </row>
    <row r="82" spans="14:36">
      <c r="N82" s="66"/>
      <c r="O82" s="66"/>
      <c r="P82" s="252" t="s">
        <v>1208</v>
      </c>
      <c r="Q82" s="257">
        <v>0.05</v>
      </c>
      <c r="R82" s="636" t="s">
        <v>1240</v>
      </c>
      <c r="S82" s="646"/>
      <c r="T82" s="617"/>
      <c r="U82" s="617"/>
      <c r="V82" s="617"/>
      <c r="W82" s="66"/>
      <c r="AG82" s="94">
        <f>IF(MAX($AG$62:AG81)&gt;=$Q$64,"",AG81+1)</f>
        <v>21</v>
      </c>
      <c r="AH82" s="75">
        <f t="shared" si="42"/>
        <v>9982907.4151474535</v>
      </c>
      <c r="AI82" s="75">
        <f t="shared" si="43"/>
        <v>119849936.76658</v>
      </c>
      <c r="AJ82" s="91"/>
    </row>
    <row r="83" spans="14:36">
      <c r="N83" s="66"/>
      <c r="O83" s="66"/>
      <c r="P83" s="252" t="s">
        <v>1210</v>
      </c>
      <c r="Q83" s="558">
        <f>Q82*Q81</f>
        <v>1883387.9843899999</v>
      </c>
      <c r="R83" s="29"/>
      <c r="S83" s="646"/>
      <c r="T83" s="617"/>
      <c r="U83" s="617"/>
      <c r="V83" s="617"/>
      <c r="W83" s="66"/>
      <c r="Y83" s="70"/>
      <c r="AG83" s="94">
        <f>IF(MAX($AG$62:AG82)&gt;=$Q$64,"",AG82+1)</f>
        <v>22</v>
      </c>
      <c r="AH83" s="75">
        <f t="shared" si="42"/>
        <v>10282394.637601877</v>
      </c>
      <c r="AI83" s="75">
        <f t="shared" si="43"/>
        <v>130132331.40418188</v>
      </c>
      <c r="AJ83" s="91"/>
    </row>
    <row r="84" spans="14:36">
      <c r="N84" s="66"/>
      <c r="O84" s="66"/>
      <c r="P84" s="258"/>
      <c r="Q84" s="259"/>
      <c r="R84" s="29"/>
      <c r="S84" s="646"/>
      <c r="T84" s="617"/>
      <c r="U84" s="617"/>
      <c r="V84" s="617"/>
      <c r="W84" s="66"/>
      <c r="Y84" s="70"/>
      <c r="AG84" s="94">
        <f>IF(MAX($AG$62:AG83)&gt;=$Q$64,"",AG83+1)</f>
        <v>23</v>
      </c>
      <c r="AH84" s="75">
        <f t="shared" si="42"/>
        <v>10590866.476729933</v>
      </c>
      <c r="AI84" s="75">
        <f t="shared" si="43"/>
        <v>140723197.88091183</v>
      </c>
      <c r="AJ84" s="91"/>
    </row>
    <row r="85" spans="14:36">
      <c r="N85" s="66"/>
      <c r="O85" s="66"/>
      <c r="P85" s="258"/>
      <c r="Q85" s="259"/>
      <c r="R85" s="29"/>
      <c r="S85" s="646"/>
      <c r="T85" s="617"/>
      <c r="U85" s="617"/>
      <c r="V85" s="617"/>
      <c r="W85" s="66"/>
      <c r="AG85" s="94">
        <f>IF(MAX($AG$62:AG84)&gt;=$Q$64,"",AG84+1)</f>
        <v>24</v>
      </c>
      <c r="AH85" s="75">
        <f t="shared" si="42"/>
        <v>10908592.471031832</v>
      </c>
      <c r="AI85" s="75">
        <f t="shared" si="43"/>
        <v>151631790.35194367</v>
      </c>
      <c r="AJ85" s="91"/>
    </row>
    <row r="86" spans="14:36">
      <c r="P86" s="260" t="s">
        <v>1214</v>
      </c>
      <c r="Q86" s="559">
        <f>Q83+Q78+Q73</f>
        <v>14697227.511358002</v>
      </c>
      <c r="R86" s="636" t="s">
        <v>1204</v>
      </c>
      <c r="S86" s="646"/>
      <c r="T86" s="617"/>
      <c r="U86" s="617"/>
      <c r="V86" s="617"/>
      <c r="AG86" s="94">
        <f>IF(MAX($AG$62:AG85)&gt;=$Q$64,"",AG85+1)</f>
        <v>25</v>
      </c>
      <c r="AH86" s="75">
        <f t="shared" si="42"/>
        <v>11235850.245162787</v>
      </c>
      <c r="AI86" s="75">
        <f t="shared" si="43"/>
        <v>162867640.59710646</v>
      </c>
      <c r="AJ86" s="91"/>
    </row>
    <row r="87" spans="14:36">
      <c r="P87" s="30"/>
      <c r="Q87" s="29"/>
      <c r="R87" s="29"/>
      <c r="S87" s="646"/>
      <c r="T87" s="617"/>
      <c r="U87" s="617"/>
      <c r="V87" s="617"/>
      <c r="AG87" s="94">
        <f>IF(MAX($AG$62:AG86)&gt;=$Q$64,"",AG86+1)</f>
        <v>26</v>
      </c>
      <c r="AH87" s="75">
        <f t="shared" si="42"/>
        <v>11572925.75251767</v>
      </c>
      <c r="AI87" s="75">
        <f t="shared" si="43"/>
        <v>174440566.34962413</v>
      </c>
      <c r="AJ87" s="91"/>
    </row>
    <row r="88" spans="14:36">
      <c r="P88" s="55" t="s">
        <v>1200</v>
      </c>
      <c r="Q88" s="605" t="s">
        <v>1678</v>
      </c>
      <c r="R88" s="605" t="s">
        <v>1677</v>
      </c>
      <c r="S88" s="646"/>
      <c r="T88" s="617"/>
      <c r="U88" s="617"/>
      <c r="V88" s="617"/>
      <c r="X88" s="71"/>
      <c r="AG88" s="94">
        <f>IF(MAX($AG$62:AG87)&gt;=$Q$64,"",AG87+1)</f>
        <v>27</v>
      </c>
      <c r="AH88" s="75">
        <f t="shared" si="42"/>
        <v>11920113.525093202</v>
      </c>
      <c r="AI88" s="75">
        <f t="shared" si="43"/>
        <v>186360679.87471732</v>
      </c>
      <c r="AJ88" s="91"/>
    </row>
    <row r="89" spans="14:36">
      <c r="P89" s="56" t="s">
        <v>1214</v>
      </c>
      <c r="Q89" s="611">
        <f>Q86</f>
        <v>14697227.511358002</v>
      </c>
      <c r="R89" s="637">
        <f>Q89</f>
        <v>14697227.511358002</v>
      </c>
      <c r="S89" s="654">
        <v>13083390.000000002</v>
      </c>
      <c r="T89" s="644">
        <f>S89/Q89</f>
        <v>0.89019442543766647</v>
      </c>
      <c r="U89" s="625">
        <v>12542850.000000002</v>
      </c>
      <c r="V89" s="625">
        <v>13083390.000000002</v>
      </c>
      <c r="X89" s="71"/>
      <c r="AG89" s="94">
        <f>IF(MAX($AG$62:AG88)&gt;=$Q$64,"",AG88+1)</f>
        <v>28</v>
      </c>
      <c r="AH89" s="75">
        <f t="shared" si="42"/>
        <v>12277716.930845998</v>
      </c>
      <c r="AI89" s="75">
        <f t="shared" si="43"/>
        <v>198638396.80556333</v>
      </c>
      <c r="AJ89" s="91"/>
    </row>
    <row r="90" spans="14:36">
      <c r="P90" s="33" t="s">
        <v>1215</v>
      </c>
      <c r="Q90" s="612">
        <f>Q65</f>
        <v>92551569.955073044</v>
      </c>
      <c r="R90" s="638">
        <f>NPV(0.06,AH62:AH76)</f>
        <v>40228884.08796227</v>
      </c>
      <c r="S90" s="655">
        <v>174204115.04101917</v>
      </c>
      <c r="T90" s="644">
        <f t="shared" ref="T90:T92" si="44">S90/Q90</f>
        <v>1.8822383577672688</v>
      </c>
      <c r="U90" s="625">
        <v>174204115.04101917</v>
      </c>
      <c r="V90" s="625">
        <v>174204115.04101917</v>
      </c>
      <c r="X90" s="71"/>
      <c r="AG90" s="94">
        <f>IF(MAX($AG$62:AG89)&gt;=$Q$64,"",AG89+1)</f>
        <v>29</v>
      </c>
      <c r="AH90" s="75">
        <f t="shared" si="42"/>
        <v>12646048.438771378</v>
      </c>
      <c r="AI90" s="75">
        <f t="shared" si="43"/>
        <v>211284445.2443347</v>
      </c>
      <c r="AJ90" s="91"/>
    </row>
    <row r="91" spans="14:36" ht="26.4" thickBot="1">
      <c r="P91" s="33" t="s">
        <v>1201</v>
      </c>
      <c r="Q91" s="612">
        <f>Q90+Q89</f>
        <v>107248797.46643105</v>
      </c>
      <c r="R91" s="638">
        <f>R90+R89</f>
        <v>54926111.59932027</v>
      </c>
      <c r="S91" s="655">
        <v>187287505.04101917</v>
      </c>
      <c r="T91" s="644">
        <f t="shared" si="44"/>
        <v>1.7462900234349041</v>
      </c>
      <c r="U91" s="625">
        <v>186746965.04101917</v>
      </c>
      <c r="V91" s="625">
        <v>187287505.04101917</v>
      </c>
      <c r="X91" s="63"/>
      <c r="AG91" s="94">
        <f>IF(MAX($AG$62:AG90)&gt;=$Q$64,"",AG90+1)</f>
        <v>30</v>
      </c>
      <c r="AH91" s="75">
        <f t="shared" si="42"/>
        <v>13025429.89193452</v>
      </c>
      <c r="AI91" s="75">
        <f t="shared" si="43"/>
        <v>224309875.13626921</v>
      </c>
      <c r="AJ91" s="91"/>
    </row>
    <row r="92" spans="14:36" ht="48" thickBot="1">
      <c r="P92" s="168" t="s">
        <v>1679</v>
      </c>
      <c r="Q92" s="613">
        <f>Q91</f>
        <v>107248797.46643105</v>
      </c>
      <c r="R92" s="639">
        <f>R91</f>
        <v>54926111.59932027</v>
      </c>
      <c r="S92" s="655">
        <v>170261368.21910831</v>
      </c>
      <c r="T92" s="644">
        <f t="shared" si="44"/>
        <v>1.5875363849408217</v>
      </c>
      <c r="U92" s="625">
        <v>169769968.21910831</v>
      </c>
      <c r="V92" s="625">
        <v>170261368.21910831</v>
      </c>
      <c r="AG92" s="94">
        <f>IF(MAX($AG$62:AG91)&gt;=$Q$64,"",AG91+1)</f>
        <v>31</v>
      </c>
      <c r="AH92" s="75">
        <f t="shared" si="42"/>
        <v>13416192.788692556</v>
      </c>
      <c r="AI92" s="75">
        <f t="shared" si="43"/>
        <v>237726067.92496178</v>
      </c>
      <c r="AJ92" s="91"/>
    </row>
    <row r="93" spans="14:36" ht="26.4" thickBot="1">
      <c r="P93" s="602"/>
      <c r="Q93" s="612"/>
      <c r="R93" s="640"/>
      <c r="S93" s="655"/>
      <c r="T93" s="644"/>
      <c r="U93" s="625"/>
      <c r="V93" s="625"/>
      <c r="AG93" s="94">
        <f>IF(MAX($AG$62:AG92)&gt;=$Q$64,"",AG92+1)</f>
        <v>32</v>
      </c>
      <c r="AH93" s="75">
        <f t="shared" si="42"/>
        <v>13818678.572353333</v>
      </c>
      <c r="AI93" s="75">
        <f t="shared" si="43"/>
        <v>251544746.49731511</v>
      </c>
      <c r="AJ93" s="91"/>
    </row>
    <row r="94" spans="14:36" ht="26.4" thickBot="1">
      <c r="P94" s="603" t="s">
        <v>1673</v>
      </c>
      <c r="Q94" s="613">
        <v>107000000</v>
      </c>
      <c r="R94" s="639">
        <f>Q94</f>
        <v>107000000</v>
      </c>
      <c r="S94" s="655"/>
      <c r="T94" s="644"/>
      <c r="U94" s="625"/>
      <c r="V94" s="625"/>
      <c r="AG94" s="94">
        <f>IF(MAX($AG$62:AG93)&gt;=$Q$64,"",AG93+1)</f>
        <v>33</v>
      </c>
      <c r="AH94" s="75">
        <f t="shared" si="42"/>
        <v>14233238.929523934</v>
      </c>
      <c r="AI94" s="75">
        <f t="shared" si="43"/>
        <v>265777985.42683905</v>
      </c>
      <c r="AJ94" s="91"/>
    </row>
    <row r="95" spans="14:36" ht="26.4" thickBot="1">
      <c r="P95" s="602" t="s">
        <v>1674</v>
      </c>
      <c r="Q95" s="612"/>
      <c r="R95" s="640"/>
      <c r="S95" s="655"/>
      <c r="T95" s="644"/>
      <c r="U95" s="625"/>
      <c r="V95" s="625"/>
      <c r="AG95" s="94">
        <f>IF(MAX($AG$62:AG94)&gt;=$Q$64,"",AG94+1)</f>
        <v>34</v>
      </c>
      <c r="AH95" s="75">
        <f t="shared" si="42"/>
        <v>14660236.097409653</v>
      </c>
      <c r="AI95" s="75">
        <f t="shared" si="43"/>
        <v>280438221.52424872</v>
      </c>
      <c r="AJ95" s="91"/>
    </row>
    <row r="96" spans="14:36" ht="26.4" thickBot="1">
      <c r="P96" s="610" t="s">
        <v>1675</v>
      </c>
      <c r="Q96" s="614">
        <f>Q91-Q94-Q95</f>
        <v>248797.46643105149</v>
      </c>
      <c r="R96" s="639">
        <f>R91-R94-R95</f>
        <v>-52073888.40067973</v>
      </c>
      <c r="S96" s="655"/>
      <c r="T96" s="644"/>
      <c r="U96" s="625"/>
      <c r="V96" s="625"/>
      <c r="AG96" s="114">
        <f>IF(MAX($AG$62:AG95)&gt;=$Q$64,"",AG95+1)</f>
        <v>35</v>
      </c>
      <c r="AH96" s="115">
        <f t="shared" si="42"/>
        <v>15100043.180331942</v>
      </c>
      <c r="AI96" s="115">
        <f t="shared" si="43"/>
        <v>295538264.70458066</v>
      </c>
      <c r="AJ96" s="97"/>
    </row>
    <row r="97" spans="14:24" ht="51" customHeight="1" thickBot="1">
      <c r="P97" s="169"/>
      <c r="Q97" s="54"/>
      <c r="R97" s="607"/>
      <c r="S97" s="641"/>
      <c r="T97" s="642"/>
      <c r="U97" s="618"/>
      <c r="V97" s="618"/>
    </row>
    <row r="98" spans="14:24">
      <c r="N98" s="66"/>
      <c r="O98" s="66"/>
      <c r="P98" s="170" t="s">
        <v>1285</v>
      </c>
      <c r="Q98" s="89"/>
      <c r="R98" s="606"/>
      <c r="S98" s="615"/>
      <c r="T98" s="616"/>
      <c r="U98" s="617"/>
      <c r="V98" s="617"/>
      <c r="W98" s="66"/>
    </row>
    <row r="99" spans="14:24">
      <c r="N99" s="66"/>
      <c r="O99" s="66"/>
      <c r="P99" s="33" t="s">
        <v>1286</v>
      </c>
      <c r="Q99" s="91"/>
      <c r="R99" s="606"/>
      <c r="S99" s="619"/>
      <c r="T99" s="620"/>
      <c r="U99" s="621"/>
      <c r="V99" s="618"/>
      <c r="W99" s="66"/>
    </row>
    <row r="100" spans="14:24">
      <c r="N100" s="66"/>
      <c r="O100" s="66"/>
      <c r="P100" s="33" t="s">
        <v>1287</v>
      </c>
      <c r="Q100" s="560" t="str">
        <f>Assumptions!E118</f>
        <v xml:space="preserve"> </v>
      </c>
      <c r="R100" s="606"/>
      <c r="S100" s="619"/>
      <c r="T100" s="620"/>
      <c r="U100" s="621"/>
      <c r="V100" s="618"/>
      <c r="W100" s="66"/>
    </row>
    <row r="101" spans="14:24">
      <c r="N101" s="66"/>
      <c r="O101" s="66"/>
      <c r="P101" s="33" t="s">
        <v>1667</v>
      </c>
      <c r="Q101" s="560">
        <f>Q92</f>
        <v>107248797.46643105</v>
      </c>
      <c r="R101" s="606"/>
      <c r="S101" s="619"/>
      <c r="T101" s="620"/>
      <c r="U101" s="621"/>
      <c r="V101" s="618"/>
      <c r="W101" s="66"/>
    </row>
    <row r="102" spans="14:24" ht="26.4" thickBot="1">
      <c r="P102" s="35" t="s">
        <v>0</v>
      </c>
      <c r="Q102" s="561" t="s">
        <v>0</v>
      </c>
      <c r="R102" s="606"/>
      <c r="S102" s="619"/>
      <c r="T102" s="620"/>
      <c r="U102" s="621"/>
      <c r="V102" s="618"/>
    </row>
    <row r="103" spans="14:24" ht="26.4" thickBot="1">
      <c r="P103" s="172"/>
      <c r="Q103" s="174"/>
      <c r="R103" s="608"/>
      <c r="S103" s="619"/>
      <c r="T103" s="620"/>
      <c r="U103" s="621"/>
      <c r="V103" s="618"/>
    </row>
    <row r="104" spans="14:24" ht="26.4" thickBot="1">
      <c r="P104" s="177"/>
      <c r="Q104" s="167"/>
      <c r="R104" s="609"/>
      <c r="S104" s="619"/>
      <c r="T104" s="620"/>
      <c r="U104" s="621"/>
      <c r="V104" s="618"/>
      <c r="X104" s="71"/>
    </row>
    <row r="105" spans="14:24">
      <c r="P105" s="170" t="s">
        <v>1289</v>
      </c>
      <c r="Q105" s="89"/>
      <c r="R105" s="606"/>
      <c r="S105" s="619"/>
      <c r="T105" s="620"/>
      <c r="U105" s="621"/>
      <c r="V105" s="617"/>
      <c r="X105" s="71"/>
    </row>
    <row r="106" spans="14:24" ht="26.4" thickBot="1">
      <c r="P106" s="33" t="s">
        <v>1290</v>
      </c>
      <c r="Q106" s="91"/>
      <c r="R106" s="606"/>
      <c r="S106" s="619"/>
      <c r="T106" s="620"/>
      <c r="U106" s="621"/>
      <c r="V106" s="617"/>
    </row>
    <row r="107" spans="14:24" ht="26.4" thickBot="1">
      <c r="P107" s="33" t="s">
        <v>1291</v>
      </c>
      <c r="Q107" s="247">
        <f>IF(Assumptions!E121="x",1,2)</f>
        <v>2</v>
      </c>
      <c r="R107" s="606"/>
      <c r="S107" s="619"/>
      <c r="T107" s="620"/>
      <c r="U107" s="621"/>
      <c r="V107" s="621"/>
      <c r="X107" s="71"/>
    </row>
    <row r="108" spans="14:24">
      <c r="P108" s="33"/>
      <c r="Q108" s="171"/>
      <c r="R108" s="606"/>
      <c r="S108" s="619"/>
      <c r="T108" s="620"/>
      <c r="U108" s="621"/>
      <c r="V108" s="621"/>
    </row>
    <row r="109" spans="14:24" ht="26.4" thickBot="1">
      <c r="P109" s="35"/>
      <c r="Q109" s="173"/>
      <c r="R109" s="606"/>
      <c r="S109" s="619"/>
      <c r="T109" s="620"/>
      <c r="U109" s="621"/>
      <c r="V109" s="621"/>
      <c r="X109" s="71"/>
    </row>
    <row r="110" spans="14:24" ht="26.4" thickBot="1">
      <c r="P110" s="153"/>
      <c r="Q110" s="151"/>
      <c r="R110" s="606"/>
      <c r="S110" s="619"/>
      <c r="T110" s="620"/>
      <c r="U110" s="621"/>
      <c r="V110" s="621"/>
      <c r="X110" s="73"/>
    </row>
    <row r="111" spans="14:24" ht="26.4" thickBot="1">
      <c r="P111" s="242" t="s">
        <v>1327</v>
      </c>
      <c r="Q111" s="167"/>
      <c r="R111" s="609"/>
      <c r="S111" s="619"/>
      <c r="T111" s="620"/>
      <c r="U111" s="621"/>
      <c r="V111" s="621"/>
      <c r="X111" s="73"/>
    </row>
    <row r="112" spans="14:24">
      <c r="P112" s="32" t="s">
        <v>1328</v>
      </c>
      <c r="Q112" s="243" t="str">
        <f>IF(Q100&gt;49.9999999,"Yes","No")</f>
        <v>Yes</v>
      </c>
      <c r="R112" s="606"/>
      <c r="S112" s="626"/>
      <c r="T112" s="627">
        <f>IF(Q112="yes",1,0)</f>
        <v>1</v>
      </c>
      <c r="U112" s="628"/>
      <c r="V112" s="628"/>
    </row>
    <row r="113" spans="16:22" ht="26.4" thickBot="1">
      <c r="P113" s="244" t="s">
        <v>1329</v>
      </c>
      <c r="Q113" s="245" t="str">
        <f>IF(SUM(AE9:AE30,AH9:AH30,AM9:AM30,AP9:AP30,AU9:AU30,AX9:AX30)&gt;249.9999999,"Yes","No")</f>
        <v>Yes</v>
      </c>
      <c r="R113" s="606"/>
      <c r="S113" s="626"/>
      <c r="T113" s="627">
        <f>IF(Q113="yes",1,0)</f>
        <v>1</v>
      </c>
      <c r="U113" s="628"/>
      <c r="V113" s="628"/>
    </row>
    <row r="114" spans="16:22" ht="28.8">
      <c r="P114" s="177"/>
      <c r="Q114" s="246" t="str">
        <f>IF(SUM(T112:T113)&lt;2,"This transaction does not meet minimum thresholds","This transaction meets minimum thresholds")</f>
        <v>This transaction meets minimum thresholds</v>
      </c>
      <c r="R114" s="606"/>
      <c r="S114" s="626"/>
      <c r="T114" s="627"/>
      <c r="U114" s="628"/>
      <c r="V114" s="628"/>
    </row>
    <row r="115" spans="16:22" ht="26.4" thickBot="1">
      <c r="P115" s="154"/>
      <c r="Q115" s="174"/>
      <c r="R115" s="608"/>
      <c r="S115" s="626"/>
      <c r="T115" s="627"/>
      <c r="U115" s="628"/>
      <c r="V115" s="628"/>
    </row>
  </sheetData>
  <dataValidations count="1">
    <dataValidation type="list" allowBlank="1" showInputMessage="1" showErrorMessage="1" sqref="Q64">
      <formula1>"20, 30, 35"</formula1>
    </dataValidation>
  </dataValidations>
  <hyperlinks>
    <hyperlink ref="BI39" r:id="rId1" display="http://newjersey.hometownlocator.com/NJ/Atlantic/"/>
    <hyperlink ref="BI40" r:id="rId2" display="http://newjersey.hometownlocator.com/NJ/Bergen/"/>
    <hyperlink ref="BI41" r:id="rId3" display="http://newjersey.hometownlocator.com/NJ/Burlington/"/>
    <hyperlink ref="BI42" r:id="rId4" display="http://newjersey.hometownlocator.com/NJ/Camden/"/>
    <hyperlink ref="BI43" r:id="rId5" display="http://newjersey.hometownlocator.com/NJ/Cape-May/"/>
    <hyperlink ref="BI44" r:id="rId6" display="http://newjersey.hometownlocator.com/NJ/Cumberland/"/>
    <hyperlink ref="BI45" r:id="rId7" display="http://newjersey.hometownlocator.com/NJ/Essex/"/>
    <hyperlink ref="BI46" r:id="rId8" display="http://newjersey.hometownlocator.com/NJ/Gloucester/"/>
    <hyperlink ref="BI47" r:id="rId9" display="http://newjersey.hometownlocator.com/NJ/Hudson/"/>
    <hyperlink ref="BI48" r:id="rId10" display="http://newjersey.hometownlocator.com/NJ/Hunterdon/"/>
    <hyperlink ref="BI49" r:id="rId11" display="http://newjersey.hometownlocator.com/NJ/Mercer/"/>
    <hyperlink ref="BI50" r:id="rId12" display="http://newjersey.hometownlocator.com/NJ/Middlesex/"/>
    <hyperlink ref="BI51" r:id="rId13" display="http://newjersey.hometownlocator.com/NJ/Monmouth/"/>
    <hyperlink ref="BI52" r:id="rId14" display="http://newjersey.hometownlocator.com/NJ/Morris/"/>
    <hyperlink ref="BI53" r:id="rId15" display="http://newjersey.hometownlocator.com/NJ/Ocean/"/>
    <hyperlink ref="BI54" r:id="rId16" display="http://newjersey.hometownlocator.com/NJ/Passaic/"/>
    <hyperlink ref="BI55" r:id="rId17" display="http://newjersey.hometownlocator.com/NJ/Salem/"/>
    <hyperlink ref="BI56" r:id="rId18" display="http://newjersey.hometownlocator.com/NJ/Somerset/"/>
    <hyperlink ref="BI57" r:id="rId19" display="http://newjersey.hometownlocator.com/NJ/Sussex/"/>
    <hyperlink ref="BI58" r:id="rId20" display="http://newjersey.hometownlocator.com/NJ/Union/"/>
    <hyperlink ref="BI59" r:id="rId21" display="http://newjersey.hometownlocator.com/NJ/Warren/"/>
  </hyperlinks>
  <pageMargins left="0.45" right="0.45" top="1" bottom="1" header="0.3" footer="0.3"/>
  <pageSetup scale="40" fitToHeight="2" orientation="portrait" r:id="rId22"/>
  <rowBreaks count="1" manualBreakCount="1">
    <brk id="31" min="15" max="19" man="1"/>
  </rowBreaks>
  <legacyDrawing r:id="rId23"/>
</worksheet>
</file>

<file path=xl/worksheets/sheet20.xml><?xml version="1.0" encoding="utf-8"?>
<worksheet xmlns="http://schemas.openxmlformats.org/spreadsheetml/2006/main" xmlns:r="http://schemas.openxmlformats.org/officeDocument/2006/relationships">
  <sheetPr codeName="Sheet44">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1.3395999999999999</v>
      </c>
      <c r="C2">
        <v>0.21299999999999999</v>
      </c>
      <c r="D2">
        <v>9.9108999999999998</v>
      </c>
      <c r="E2">
        <v>0.60440000000000005</v>
      </c>
      <c r="F2">
        <v>1.3588</v>
      </c>
      <c r="G2">
        <v>1.1766000000000001</v>
      </c>
    </row>
    <row r="3" spans="1:87">
      <c r="A3" s="581" t="s">
        <v>1521</v>
      </c>
      <c r="B3">
        <v>1.34</v>
      </c>
      <c r="C3">
        <v>0.31309999999999999</v>
      </c>
      <c r="D3">
        <v>14.599299999999999</v>
      </c>
      <c r="E3">
        <v>0.81630000000000003</v>
      </c>
      <c r="F3">
        <v>1.2414000000000001</v>
      </c>
      <c r="G3">
        <v>1.1235999999999999</v>
      </c>
    </row>
    <row r="4" spans="1:87">
      <c r="A4" s="581" t="s">
        <v>1522</v>
      </c>
      <c r="B4">
        <v>1</v>
      </c>
      <c r="C4">
        <v>0</v>
      </c>
      <c r="D4">
        <v>0</v>
      </c>
      <c r="E4">
        <v>0</v>
      </c>
      <c r="F4">
        <v>0</v>
      </c>
      <c r="G4">
        <v>0</v>
      </c>
      <c r="N4" s="17"/>
      <c r="U4" s="21"/>
      <c r="X4" s="21"/>
    </row>
    <row r="5" spans="1:87">
      <c r="A5" s="581" t="s">
        <v>1523</v>
      </c>
      <c r="B5">
        <v>1</v>
      </c>
      <c r="C5">
        <v>0</v>
      </c>
      <c r="D5">
        <v>0</v>
      </c>
      <c r="E5">
        <v>0</v>
      </c>
      <c r="F5">
        <v>0</v>
      </c>
      <c r="G5">
        <v>0</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1.7303999999999999</v>
      </c>
      <c r="C6">
        <v>0.42859999999999998</v>
      </c>
      <c r="D6">
        <v>9.9093999999999998</v>
      </c>
      <c r="E6">
        <v>0.85740000000000005</v>
      </c>
      <c r="F6">
        <v>1.4529000000000001</v>
      </c>
      <c r="G6">
        <v>1.4366000000000001</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1.1145</v>
      </c>
      <c r="C7">
        <v>8.8300000000000003E-2</v>
      </c>
      <c r="D7">
        <v>1.1728000000000001</v>
      </c>
      <c r="E7">
        <v>0.76329999999999998</v>
      </c>
      <c r="F7">
        <v>1.3002</v>
      </c>
      <c r="G7">
        <v>1.7824</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1.6004</v>
      </c>
      <c r="C8">
        <v>0.33200000000000002</v>
      </c>
      <c r="D8">
        <v>6.9268000000000001</v>
      </c>
      <c r="E8">
        <v>0.87690000000000001</v>
      </c>
      <c r="F8">
        <v>1.4762999999999999</v>
      </c>
      <c r="G8">
        <v>1.6003000000000001</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1.5328999999999999</v>
      </c>
      <c r="C9">
        <v>0.26619999999999999</v>
      </c>
      <c r="D9">
        <v>6.7416</v>
      </c>
      <c r="E9">
        <v>0.64990000000000003</v>
      </c>
      <c r="F9">
        <v>1.5511999999999999</v>
      </c>
      <c r="G9">
        <v>1.4762</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1.5956999999999999</v>
      </c>
      <c r="C10">
        <v>0.20799999999999999</v>
      </c>
      <c r="D10">
        <v>4.3653000000000004</v>
      </c>
      <c r="E10">
        <v>0.73680000000000001</v>
      </c>
      <c r="F10">
        <v>1.9116</v>
      </c>
      <c r="G10">
        <v>1.9976</v>
      </c>
      <c r="U10" s="13"/>
      <c r="V10" s="23"/>
      <c r="W10" s="26"/>
      <c r="Y10" s="11"/>
      <c r="AM10" s="12"/>
      <c r="AV10" s="12"/>
      <c r="BE10" s="12"/>
      <c r="BN10" s="12"/>
      <c r="BW10" s="12"/>
      <c r="CF10" s="12"/>
    </row>
    <row r="11" spans="1:87">
      <c r="A11" s="581" t="s">
        <v>1529</v>
      </c>
      <c r="B11">
        <v>1.5771999999999999</v>
      </c>
      <c r="C11">
        <v>0.16170000000000001</v>
      </c>
      <c r="D11">
        <v>3.6715</v>
      </c>
      <c r="E11">
        <v>0.48649999999999999</v>
      </c>
      <c r="F11">
        <v>2.1116000000000001</v>
      </c>
      <c r="G11">
        <v>2.0036999999999998</v>
      </c>
      <c r="U11" s="13"/>
      <c r="V11" s="23"/>
      <c r="Y11" s="11"/>
      <c r="AM11" s="12"/>
      <c r="AP11" s="12"/>
      <c r="AV11" s="12"/>
      <c r="AY11" s="12"/>
      <c r="BE11" s="12"/>
      <c r="BH11" s="12"/>
      <c r="BN11" s="12"/>
      <c r="BQ11" s="12"/>
      <c r="BW11" s="12"/>
      <c r="BZ11" s="12"/>
      <c r="CF11" s="12"/>
      <c r="CI11" s="12"/>
    </row>
    <row r="12" spans="1:87">
      <c r="A12" s="581" t="s">
        <v>1530</v>
      </c>
      <c r="B12">
        <v>1.5483</v>
      </c>
      <c r="C12">
        <v>0.2258</v>
      </c>
      <c r="D12">
        <v>4.4217000000000004</v>
      </c>
      <c r="E12">
        <v>0.7379</v>
      </c>
      <c r="F12">
        <v>1.6612</v>
      </c>
      <c r="G12">
        <v>1.8421000000000001</v>
      </c>
      <c r="N12" s="15"/>
      <c r="U12" s="13"/>
      <c r="V12" s="23"/>
      <c r="Y12" s="11"/>
      <c r="AM12" s="12"/>
      <c r="AV12" s="12"/>
      <c r="BE12" s="12"/>
      <c r="BN12" s="12"/>
      <c r="BW12" s="12"/>
      <c r="CF12" s="12"/>
    </row>
    <row r="13" spans="1:87">
      <c r="A13" s="581" t="s">
        <v>1531</v>
      </c>
      <c r="B13">
        <v>1.4670000000000001</v>
      </c>
      <c r="C13">
        <v>0.2296</v>
      </c>
      <c r="D13">
        <v>3.7686999999999999</v>
      </c>
      <c r="E13">
        <v>0.72650000000000003</v>
      </c>
      <c r="F13">
        <v>1.5356000000000001</v>
      </c>
      <c r="G13">
        <v>1.8608</v>
      </c>
      <c r="N13" s="16"/>
      <c r="U13" s="13"/>
      <c r="V13" s="23"/>
      <c r="Y13" s="11"/>
      <c r="AM13" s="12"/>
      <c r="AV13" s="12"/>
      <c r="BE13" s="12"/>
      <c r="BN13" s="12"/>
      <c r="BW13" s="12"/>
      <c r="CF13" s="12"/>
    </row>
    <row r="14" spans="1:87">
      <c r="A14" s="581" t="s">
        <v>1532</v>
      </c>
      <c r="B14">
        <v>1.3260000000000001</v>
      </c>
      <c r="C14">
        <v>0.16919999999999999</v>
      </c>
      <c r="D14">
        <v>2.6669999999999998</v>
      </c>
      <c r="E14">
        <v>0.90800000000000003</v>
      </c>
      <c r="F14">
        <v>1.522</v>
      </c>
      <c r="G14">
        <v>1.8563000000000001</v>
      </c>
      <c r="N14" s="16"/>
      <c r="U14" s="13"/>
      <c r="V14" s="23"/>
      <c r="Y14" s="11"/>
      <c r="AM14" s="12"/>
      <c r="AV14" s="12"/>
      <c r="BE14" s="12"/>
      <c r="BN14" s="12"/>
      <c r="BW14" s="12"/>
      <c r="CF14" s="12"/>
    </row>
    <row r="15" spans="1:87">
      <c r="A15" s="581" t="s">
        <v>1533</v>
      </c>
      <c r="B15">
        <v>1.4006000000000001</v>
      </c>
      <c r="C15">
        <v>0.1903</v>
      </c>
      <c r="D15">
        <v>3.5488</v>
      </c>
      <c r="E15">
        <v>0.622</v>
      </c>
      <c r="F15">
        <v>1.5712999999999999</v>
      </c>
      <c r="G15">
        <v>1.7553000000000001</v>
      </c>
      <c r="N15" s="15"/>
      <c r="U15" s="13"/>
      <c r="V15" s="23"/>
      <c r="Y15" s="11"/>
      <c r="AM15" s="12"/>
      <c r="AV15" s="12"/>
    </row>
    <row r="16" spans="1:87">
      <c r="A16" s="581" t="s">
        <v>1534</v>
      </c>
      <c r="B16">
        <v>1.5681</v>
      </c>
      <c r="C16">
        <v>0.1588</v>
      </c>
      <c r="D16">
        <v>3.6131000000000002</v>
      </c>
      <c r="E16">
        <v>0.46850000000000003</v>
      </c>
      <c r="F16">
        <v>2.5375000000000001</v>
      </c>
      <c r="G16">
        <v>2.161</v>
      </c>
      <c r="U16" s="13"/>
      <c r="V16" s="23"/>
      <c r="Y16" s="11"/>
      <c r="AM16" s="12"/>
      <c r="AV16" s="12"/>
      <c r="BE16" s="12"/>
      <c r="BN16" s="12"/>
      <c r="BW16" s="12"/>
      <c r="CF16" s="12"/>
    </row>
    <row r="17" spans="1:87">
      <c r="A17" s="581" t="s">
        <v>1535</v>
      </c>
      <c r="B17">
        <v>1.7847999999999999</v>
      </c>
      <c r="C17">
        <v>0.21199999999999999</v>
      </c>
      <c r="D17">
        <v>4.4654999999999996</v>
      </c>
      <c r="E17">
        <v>0.78190000000000004</v>
      </c>
      <c r="F17">
        <v>3.3877000000000002</v>
      </c>
      <c r="G17">
        <v>2.6795</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1.482</v>
      </c>
      <c r="C18">
        <v>0.2732</v>
      </c>
      <c r="D18">
        <v>5.4783999999999997</v>
      </c>
      <c r="E18">
        <v>0.78569999999999995</v>
      </c>
      <c r="F18">
        <v>1.4327000000000001</v>
      </c>
      <c r="G18">
        <v>1.5548999999999999</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1.4491000000000001</v>
      </c>
      <c r="C19">
        <v>0.27060000000000001</v>
      </c>
      <c r="D19">
        <v>4.4646999999999997</v>
      </c>
      <c r="E19">
        <v>0.84630000000000005</v>
      </c>
      <c r="F19">
        <v>1.4094</v>
      </c>
      <c r="G19">
        <v>1.6845000000000001</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1.5649</v>
      </c>
      <c r="C20">
        <v>0.1386</v>
      </c>
      <c r="D20">
        <v>2.9117999999999999</v>
      </c>
      <c r="E20">
        <v>0.55989999999999995</v>
      </c>
      <c r="F20">
        <v>2.7418</v>
      </c>
      <c r="G20">
        <v>2.5827</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1.3708</v>
      </c>
      <c r="C21">
        <v>0.1242</v>
      </c>
      <c r="D21">
        <v>2.8694000000000002</v>
      </c>
      <c r="E21">
        <v>0.53690000000000004</v>
      </c>
      <c r="F21">
        <v>2.0407999999999999</v>
      </c>
      <c r="G21">
        <v>1.9068000000000001</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1.6565000000000001</v>
      </c>
      <c r="C22">
        <v>0.54959999999999998</v>
      </c>
      <c r="D22">
        <v>15.058299999999999</v>
      </c>
      <c r="E22">
        <v>1.0566</v>
      </c>
      <c r="F22">
        <v>1.3280000000000001</v>
      </c>
      <c r="G22">
        <v>1.3078000000000001</v>
      </c>
      <c r="K22" s="17"/>
      <c r="L22" s="17"/>
      <c r="M22" s="17"/>
      <c r="N22" s="17"/>
      <c r="O22" s="17"/>
      <c r="P22" s="17"/>
      <c r="U22" s="13"/>
      <c r="V22" s="23"/>
      <c r="Y22" s="11"/>
      <c r="AM22" s="12"/>
      <c r="AV22" s="12"/>
      <c r="BE22" s="12"/>
      <c r="BN22" s="12"/>
      <c r="BW22" s="12"/>
      <c r="CF22" s="12"/>
    </row>
    <row r="23" spans="1:87">
      <c r="A23" s="581" t="s">
        <v>1541</v>
      </c>
      <c r="B23">
        <v>1.4494</v>
      </c>
      <c r="C23">
        <v>0.18729999999999999</v>
      </c>
      <c r="D23">
        <v>3.4350999999999998</v>
      </c>
      <c r="E23">
        <v>0.60070000000000001</v>
      </c>
      <c r="F23">
        <v>1.7030000000000001</v>
      </c>
      <c r="G23">
        <v>1.9388000000000001</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1.6148</v>
      </c>
      <c r="C24">
        <v>0.2452</v>
      </c>
      <c r="D24">
        <v>5.4554999999999998</v>
      </c>
      <c r="E24">
        <v>0.72640000000000005</v>
      </c>
      <c r="F24">
        <v>1.8018000000000001</v>
      </c>
      <c r="G24">
        <v>1.8338000000000001</v>
      </c>
      <c r="K24" s="17"/>
      <c r="L24" s="17"/>
      <c r="M24" s="17"/>
      <c r="N24" s="18"/>
      <c r="O24" s="18"/>
      <c r="P24" s="17"/>
      <c r="R24" s="11"/>
      <c r="U24" s="13"/>
      <c r="V24" s="23"/>
      <c r="Y24" s="11"/>
      <c r="AM24" s="12"/>
      <c r="AV24" s="12"/>
      <c r="BE24" s="12"/>
      <c r="BN24" s="12"/>
      <c r="BW24" s="12"/>
      <c r="CF24" s="12"/>
    </row>
    <row r="25" spans="1:87">
      <c r="A25" s="581" t="s">
        <v>1543</v>
      </c>
      <c r="B25">
        <v>1.1087</v>
      </c>
      <c r="C25">
        <v>4.4400000000000002E-2</v>
      </c>
      <c r="D25">
        <v>0.61870000000000003</v>
      </c>
      <c r="E25">
        <v>0.33119999999999999</v>
      </c>
      <c r="F25">
        <v>1.6782999999999999</v>
      </c>
      <c r="G25">
        <v>2.5329999999999999</v>
      </c>
      <c r="K25" s="17"/>
      <c r="L25" s="17"/>
      <c r="M25" s="17"/>
      <c r="N25" s="18"/>
      <c r="O25" s="17"/>
      <c r="P25" s="17"/>
      <c r="U25" s="13"/>
      <c r="V25" s="23"/>
      <c r="Y25" s="11"/>
      <c r="AM25" s="12"/>
      <c r="AV25" s="12"/>
      <c r="BE25" s="12"/>
      <c r="BN25" s="12"/>
      <c r="BW25" s="12"/>
      <c r="CF25" s="12"/>
    </row>
    <row r="26" spans="1:87">
      <c r="A26" s="581" t="s">
        <v>1544</v>
      </c>
      <c r="B26">
        <v>1.3596999999999999</v>
      </c>
      <c r="C26">
        <v>0.1439</v>
      </c>
      <c r="D26">
        <v>2.0651000000000002</v>
      </c>
      <c r="E26">
        <v>0.5675</v>
      </c>
      <c r="F26">
        <v>1.7898000000000001</v>
      </c>
      <c r="G26">
        <v>2.5964999999999998</v>
      </c>
      <c r="Y26" s="11"/>
      <c r="AM26" s="12"/>
      <c r="AV26" s="12"/>
      <c r="BE26" s="12"/>
      <c r="BN26" s="12"/>
      <c r="BW26" s="12"/>
      <c r="CF26" s="12"/>
    </row>
    <row r="27" spans="1:87">
      <c r="A27" s="581" t="s">
        <v>1545</v>
      </c>
      <c r="B27">
        <v>1.4550000000000001</v>
      </c>
      <c r="C27">
        <v>0.16550000000000001</v>
      </c>
      <c r="D27">
        <v>3.3660999999999999</v>
      </c>
      <c r="E27">
        <v>0.63219999999999998</v>
      </c>
      <c r="F27">
        <v>1.8268</v>
      </c>
      <c r="G27">
        <v>1.8963000000000001</v>
      </c>
      <c r="M27" s="12"/>
      <c r="Y27" s="11"/>
      <c r="AM27" s="12"/>
      <c r="AV27" s="12"/>
    </row>
    <row r="28" spans="1:87">
      <c r="A28" s="581" t="s">
        <v>1546</v>
      </c>
      <c r="B28">
        <v>1.4978</v>
      </c>
      <c r="C28">
        <v>0.25059999999999999</v>
      </c>
      <c r="D28">
        <v>4.4093999999999998</v>
      </c>
      <c r="E28">
        <v>0.9587</v>
      </c>
      <c r="F28">
        <v>1.6026</v>
      </c>
      <c r="G28">
        <v>2.024</v>
      </c>
      <c r="M28" s="13"/>
      <c r="N28" s="12"/>
      <c r="O28" s="14"/>
      <c r="Q28" s="12"/>
      <c r="Y28" s="11"/>
      <c r="AM28" s="12"/>
      <c r="AV28" s="12"/>
      <c r="BE28" s="12"/>
      <c r="BN28" s="12"/>
      <c r="BW28" s="12"/>
      <c r="CF28" s="12"/>
    </row>
    <row r="29" spans="1:87">
      <c r="A29" s="581" t="s">
        <v>1547</v>
      </c>
      <c r="B29">
        <v>1.5141</v>
      </c>
      <c r="C29">
        <v>0.29239999999999999</v>
      </c>
      <c r="D29">
        <v>9.5043000000000006</v>
      </c>
      <c r="E29">
        <v>0.97909999999999997</v>
      </c>
      <c r="F29">
        <v>1.4514</v>
      </c>
      <c r="G29">
        <v>1.3209</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1.3740000000000001</v>
      </c>
      <c r="C30">
        <v>0.14360000000000001</v>
      </c>
      <c r="D30">
        <v>3.0668000000000002</v>
      </c>
      <c r="E30">
        <v>0.66</v>
      </c>
      <c r="F30">
        <v>2.0550999999999999</v>
      </c>
      <c r="G30">
        <v>2.6892</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1.522</v>
      </c>
      <c r="C31">
        <v>0.1605</v>
      </c>
      <c r="D31">
        <v>2.9085999999999999</v>
      </c>
      <c r="E31">
        <v>0.74370000000000003</v>
      </c>
      <c r="F31">
        <v>2.4853999999999998</v>
      </c>
      <c r="G31">
        <v>3.4247000000000001</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1.3868</v>
      </c>
      <c r="C32">
        <v>0.20169999999999999</v>
      </c>
      <c r="D32">
        <v>3.2825000000000002</v>
      </c>
      <c r="E32">
        <v>0.64929999999999999</v>
      </c>
      <c r="F32">
        <v>1.5826</v>
      </c>
      <c r="G32">
        <v>2.2158000000000002</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1.5329999999999999</v>
      </c>
      <c r="C33">
        <v>0.2326</v>
      </c>
      <c r="D33">
        <v>5.4283000000000001</v>
      </c>
      <c r="E33">
        <v>0.79110000000000003</v>
      </c>
      <c r="F33">
        <v>1.7862</v>
      </c>
      <c r="G33">
        <v>1.909</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1.3801000000000001</v>
      </c>
      <c r="C34">
        <v>0.33029999999999998</v>
      </c>
      <c r="D34">
        <v>9.891</v>
      </c>
      <c r="E34">
        <v>0.93720000000000003</v>
      </c>
      <c r="F34">
        <v>1.2605</v>
      </c>
      <c r="G34">
        <v>1.2161</v>
      </c>
      <c r="K34" s="17"/>
      <c r="L34" s="17"/>
      <c r="M34" s="17"/>
      <c r="N34" s="17"/>
      <c r="O34" s="17"/>
      <c r="P34" s="17"/>
      <c r="Y34" s="11"/>
      <c r="AM34" s="12"/>
      <c r="AV34" s="12"/>
      <c r="BE34" s="12"/>
      <c r="BN34" s="12"/>
      <c r="BW34" s="12"/>
      <c r="CF34" s="12"/>
    </row>
    <row r="35" spans="1:87">
      <c r="A35" s="581" t="s">
        <v>1553</v>
      </c>
      <c r="B35">
        <v>1</v>
      </c>
      <c r="C35">
        <v>0</v>
      </c>
      <c r="D35">
        <v>0</v>
      </c>
      <c r="E35">
        <v>0</v>
      </c>
      <c r="F35">
        <v>0</v>
      </c>
      <c r="G35">
        <v>0</v>
      </c>
      <c r="K35" s="17"/>
      <c r="L35" s="17"/>
      <c r="M35" s="17"/>
      <c r="N35" s="18"/>
      <c r="O35" s="18"/>
      <c r="P35" s="17"/>
      <c r="Y35" s="11"/>
      <c r="AM35" s="12"/>
      <c r="AP35" s="12"/>
      <c r="AV35" s="12"/>
      <c r="AY35" s="12"/>
      <c r="BE35" s="12"/>
      <c r="BH35" s="12"/>
      <c r="BN35" s="12"/>
      <c r="BQ35" s="12"/>
      <c r="BW35" s="12"/>
      <c r="BZ35" s="12"/>
      <c r="CF35" s="12"/>
      <c r="CI35" s="12"/>
    </row>
    <row r="36" spans="1:87">
      <c r="A36" s="581" t="s">
        <v>1554</v>
      </c>
      <c r="B36">
        <v>1.4463999999999999</v>
      </c>
      <c r="C36">
        <v>0.33019999999999999</v>
      </c>
      <c r="D36">
        <v>7.2373000000000003</v>
      </c>
      <c r="E36">
        <v>0.97019999999999995</v>
      </c>
      <c r="F36">
        <v>1.3378000000000001</v>
      </c>
      <c r="G36">
        <v>1.431</v>
      </c>
      <c r="K36" s="17"/>
      <c r="L36" s="17"/>
      <c r="M36" s="17"/>
      <c r="N36" s="18"/>
      <c r="O36" s="18"/>
      <c r="P36" s="17"/>
      <c r="Y36" s="11"/>
      <c r="AM36" s="12"/>
      <c r="AV36" s="12"/>
      <c r="BE36" s="12"/>
      <c r="BN36" s="12"/>
      <c r="BW36" s="12"/>
      <c r="CF36" s="12"/>
    </row>
    <row r="37" spans="1:87">
      <c r="A37" s="581" t="s">
        <v>1555</v>
      </c>
      <c r="B37">
        <v>1.5174000000000001</v>
      </c>
      <c r="C37">
        <v>0.35220000000000001</v>
      </c>
      <c r="D37">
        <v>8.8864000000000001</v>
      </c>
      <c r="E37">
        <v>1.0561</v>
      </c>
      <c r="F37">
        <v>1.37</v>
      </c>
      <c r="G37">
        <v>1.3969</v>
      </c>
      <c r="K37" s="17"/>
      <c r="L37" s="17"/>
      <c r="M37" s="17"/>
      <c r="N37" s="17"/>
      <c r="O37" s="17"/>
      <c r="P37" s="17"/>
      <c r="Y37" s="11"/>
    </row>
    <row r="38" spans="1:87">
      <c r="A38" s="581" t="s">
        <v>1556</v>
      </c>
      <c r="B38">
        <v>1.6284000000000001</v>
      </c>
      <c r="C38">
        <v>0.29010000000000002</v>
      </c>
      <c r="D38">
        <v>5.6154999999999999</v>
      </c>
      <c r="E38">
        <v>0.84760000000000002</v>
      </c>
      <c r="F38">
        <v>1.6439999999999999</v>
      </c>
      <c r="G38">
        <v>1.9302999999999999</v>
      </c>
      <c r="Y38" s="11"/>
    </row>
    <row r="39" spans="1:87">
      <c r="A39" s="581" t="s">
        <v>1557</v>
      </c>
      <c r="B39">
        <v>1.4854000000000001</v>
      </c>
      <c r="C39">
        <v>0.26979999999999998</v>
      </c>
      <c r="D39">
        <v>6.9432999999999998</v>
      </c>
      <c r="E39">
        <v>0.87619999999999998</v>
      </c>
      <c r="F39">
        <v>1.5061</v>
      </c>
      <c r="G39">
        <v>1.498</v>
      </c>
      <c r="Y39" s="11"/>
    </row>
    <row r="40" spans="1:87">
      <c r="A40" s="581" t="s">
        <v>1558</v>
      </c>
      <c r="B40">
        <v>1.3939999999999999</v>
      </c>
      <c r="C40">
        <v>0.25330000000000003</v>
      </c>
      <c r="D40">
        <v>4.0242000000000004</v>
      </c>
      <c r="E40">
        <v>0.61409999999999998</v>
      </c>
      <c r="F40">
        <v>1.4782</v>
      </c>
      <c r="G40">
        <v>2.4965999999999999</v>
      </c>
      <c r="N40" s="12"/>
      <c r="O40" s="14"/>
      <c r="Q40" s="12"/>
      <c r="Y40" s="11"/>
    </row>
    <row r="41" spans="1:87">
      <c r="A41" s="581" t="s">
        <v>1559</v>
      </c>
      <c r="B41">
        <v>1.4557</v>
      </c>
      <c r="C41">
        <v>0.15570000000000001</v>
      </c>
      <c r="D41">
        <v>2.8071999999999999</v>
      </c>
      <c r="E41">
        <v>0.84899999999999998</v>
      </c>
      <c r="F41">
        <v>1.9699</v>
      </c>
      <c r="G41">
        <v>2.6311</v>
      </c>
      <c r="N41" s="12"/>
      <c r="O41" s="14"/>
      <c r="Q41" s="12"/>
      <c r="Y41" s="11"/>
    </row>
    <row r="42" spans="1:87">
      <c r="A42" s="581" t="s">
        <v>1560</v>
      </c>
      <c r="B42">
        <v>1.5926</v>
      </c>
      <c r="C42">
        <v>0.1953</v>
      </c>
      <c r="D42">
        <v>3.7480000000000002</v>
      </c>
      <c r="E42">
        <v>0.84109999999999996</v>
      </c>
      <c r="F42">
        <v>2.2383999999999999</v>
      </c>
      <c r="G42">
        <v>3.2970000000000002</v>
      </c>
      <c r="Y42" s="11"/>
    </row>
    <row r="43" spans="1:87">
      <c r="A43" s="581" t="s">
        <v>1561</v>
      </c>
      <c r="B43">
        <v>1.4749000000000001</v>
      </c>
      <c r="C43">
        <v>0.1643</v>
      </c>
      <c r="D43">
        <v>3.2587999999999999</v>
      </c>
      <c r="E43">
        <v>0.85509999999999997</v>
      </c>
      <c r="F43">
        <v>1.9581999999999999</v>
      </c>
      <c r="G43">
        <v>2.3892000000000002</v>
      </c>
      <c r="Q43" s="12"/>
      <c r="Y43" s="11"/>
    </row>
    <row r="44" spans="1:87">
      <c r="A44" s="581" t="s">
        <v>1562</v>
      </c>
      <c r="B44">
        <v>1.6633</v>
      </c>
      <c r="C44">
        <v>0.21920000000000001</v>
      </c>
      <c r="D44">
        <v>4.4340000000000002</v>
      </c>
      <c r="E44">
        <v>0.76700000000000002</v>
      </c>
      <c r="F44">
        <v>2.1040999999999999</v>
      </c>
      <c r="G44">
        <v>2.4935</v>
      </c>
      <c r="Y44" s="11"/>
    </row>
    <row r="45" spans="1:87">
      <c r="A45" s="581" t="s">
        <v>1563</v>
      </c>
      <c r="B45">
        <v>1.6056999999999999</v>
      </c>
      <c r="C45">
        <v>0.30509999999999998</v>
      </c>
      <c r="D45">
        <v>5.3041999999999998</v>
      </c>
      <c r="E45">
        <v>1.0302</v>
      </c>
      <c r="F45">
        <v>1.5838000000000001</v>
      </c>
      <c r="G45">
        <v>1.8835999999999999</v>
      </c>
      <c r="Q45" s="12"/>
      <c r="Y45" s="11"/>
    </row>
    <row r="46" spans="1:87">
      <c r="A46" s="581" t="s">
        <v>1564</v>
      </c>
      <c r="B46">
        <v>1.2998000000000001</v>
      </c>
      <c r="C46">
        <v>9.6699999999999994E-2</v>
      </c>
      <c r="D46">
        <v>4.0949999999999998</v>
      </c>
      <c r="E46">
        <v>0.58509999999999995</v>
      </c>
      <c r="F46">
        <v>1.8117000000000001</v>
      </c>
      <c r="G46">
        <v>1.3029999999999999</v>
      </c>
      <c r="Q46" s="16"/>
      <c r="Y46" s="11"/>
    </row>
    <row r="47" spans="1:87">
      <c r="A47" s="581" t="s">
        <v>1565</v>
      </c>
      <c r="B47">
        <v>1.3378000000000001</v>
      </c>
      <c r="C47">
        <v>8.9099999999999999E-2</v>
      </c>
      <c r="D47">
        <v>4.3863000000000003</v>
      </c>
      <c r="E47">
        <v>0.89910000000000001</v>
      </c>
      <c r="F47">
        <v>2.3351000000000002</v>
      </c>
      <c r="G47">
        <v>1.4005000000000001</v>
      </c>
      <c r="Q47" s="16"/>
      <c r="Y47" s="11"/>
    </row>
    <row r="48" spans="1:87">
      <c r="A48" s="581" t="s">
        <v>1566</v>
      </c>
      <c r="B48">
        <v>1.5855999999999999</v>
      </c>
      <c r="C48">
        <v>0.25969999999999999</v>
      </c>
      <c r="D48">
        <v>4.6459000000000001</v>
      </c>
      <c r="E48">
        <v>1.0938000000000001</v>
      </c>
      <c r="F48">
        <v>1.6976</v>
      </c>
      <c r="G48">
        <v>2.1061999999999999</v>
      </c>
      <c r="Y48" s="11"/>
    </row>
    <row r="49" spans="1:25">
      <c r="A49" s="581" t="s">
        <v>1567</v>
      </c>
      <c r="B49">
        <v>1.5029999999999999</v>
      </c>
      <c r="C49">
        <v>0.37319999999999998</v>
      </c>
      <c r="D49">
        <v>6.4923999999999999</v>
      </c>
      <c r="E49">
        <v>1.0268999999999999</v>
      </c>
      <c r="F49">
        <v>1.3238000000000001</v>
      </c>
      <c r="G49">
        <v>1.5956999999999999</v>
      </c>
      <c r="Y49" s="11"/>
    </row>
    <row r="50" spans="1:25">
      <c r="A50" s="581" t="s">
        <v>1568</v>
      </c>
      <c r="B50">
        <v>1.5476000000000001</v>
      </c>
      <c r="C50">
        <v>0.36199999999999999</v>
      </c>
      <c r="D50">
        <v>4.8880999999999997</v>
      </c>
      <c r="E50">
        <v>0.98709999999999998</v>
      </c>
      <c r="F50">
        <v>1.3791</v>
      </c>
      <c r="G50">
        <v>2.0081000000000002</v>
      </c>
      <c r="Y50" s="11"/>
    </row>
    <row r="51" spans="1:25">
      <c r="A51" s="581" t="s">
        <v>1569</v>
      </c>
      <c r="B51">
        <v>1.5435000000000001</v>
      </c>
      <c r="C51">
        <v>0.35970000000000002</v>
      </c>
      <c r="D51">
        <v>12.3895</v>
      </c>
      <c r="E51">
        <v>1.0074000000000001</v>
      </c>
      <c r="F51">
        <v>1.3866000000000001</v>
      </c>
      <c r="G51">
        <v>1.2695000000000001</v>
      </c>
      <c r="Y51" s="11"/>
    </row>
    <row r="52" spans="1:25">
      <c r="A52" s="581" t="s">
        <v>1570</v>
      </c>
      <c r="B52">
        <v>1.7478</v>
      </c>
      <c r="C52">
        <v>0.4199</v>
      </c>
      <c r="D52">
        <v>7.8982999999999999</v>
      </c>
      <c r="E52">
        <v>0.96599999999999997</v>
      </c>
      <c r="F52">
        <v>1.554</v>
      </c>
      <c r="G52">
        <v>1.8111999999999999</v>
      </c>
      <c r="Y52" s="11"/>
    </row>
    <row r="53" spans="1:25">
      <c r="A53" s="581" t="s">
        <v>1571</v>
      </c>
      <c r="B53">
        <v>1.5911</v>
      </c>
      <c r="C53">
        <v>0.41699999999999998</v>
      </c>
      <c r="D53">
        <v>13.3902</v>
      </c>
      <c r="E53">
        <v>1.0172000000000001</v>
      </c>
      <c r="F53">
        <v>1.3050999999999999</v>
      </c>
      <c r="G53">
        <v>1.2473000000000001</v>
      </c>
      <c r="K53" s="17"/>
      <c r="N53" s="17"/>
      <c r="O53" s="17"/>
      <c r="P53" s="17"/>
      <c r="Y53" s="11"/>
    </row>
    <row r="54" spans="1:25">
      <c r="A54" s="581" t="s">
        <v>1572</v>
      </c>
      <c r="B54">
        <v>1.5778000000000001</v>
      </c>
      <c r="C54">
        <v>0.39529999999999998</v>
      </c>
      <c r="D54">
        <v>7.4339000000000004</v>
      </c>
      <c r="E54">
        <v>1.0478000000000001</v>
      </c>
      <c r="F54">
        <v>1.3763000000000001</v>
      </c>
      <c r="G54">
        <v>1.5934999999999999</v>
      </c>
      <c r="K54" s="17"/>
      <c r="N54" s="12"/>
      <c r="O54" s="12"/>
      <c r="Y54" s="11"/>
    </row>
    <row r="55" spans="1:25">
      <c r="A55" s="581" t="s">
        <v>1573</v>
      </c>
      <c r="B55">
        <v>1.6180000000000001</v>
      </c>
      <c r="C55">
        <v>0.311</v>
      </c>
      <c r="D55">
        <v>6.3742000000000001</v>
      </c>
      <c r="E55">
        <v>0.9224</v>
      </c>
      <c r="F55">
        <v>1.5078</v>
      </c>
      <c r="G55">
        <v>1.7446999999999999</v>
      </c>
      <c r="K55" s="17"/>
      <c r="N55" s="12"/>
      <c r="O55" s="12"/>
      <c r="Y55" s="11"/>
    </row>
    <row r="56" spans="1:25">
      <c r="A56" s="581" t="s">
        <v>1574</v>
      </c>
      <c r="B56">
        <v>1.6082000000000001</v>
      </c>
      <c r="C56">
        <v>0.4415</v>
      </c>
      <c r="D56">
        <v>13.8127</v>
      </c>
      <c r="E56">
        <v>1.0501</v>
      </c>
      <c r="F56">
        <v>1.3149</v>
      </c>
      <c r="G56">
        <v>1.26</v>
      </c>
      <c r="K56" s="17"/>
      <c r="Y56" s="11"/>
    </row>
    <row r="57" spans="1:25">
      <c r="A57" s="581" t="s">
        <v>1575</v>
      </c>
      <c r="B57">
        <v>1.6375999999999999</v>
      </c>
      <c r="C57">
        <v>0.44890000000000002</v>
      </c>
      <c r="D57">
        <v>18.223700000000001</v>
      </c>
      <c r="E57">
        <v>1.0311999999999999</v>
      </c>
      <c r="F57">
        <v>1.3334999999999999</v>
      </c>
      <c r="G57">
        <v>1.1979</v>
      </c>
      <c r="Y57" s="11"/>
    </row>
    <row r="58" spans="1:25">
      <c r="A58" s="581" t="s">
        <v>1576</v>
      </c>
      <c r="B58">
        <v>1.7333000000000001</v>
      </c>
      <c r="C58">
        <v>0.46179999999999999</v>
      </c>
      <c r="D58">
        <v>15.477399999999999</v>
      </c>
      <c r="E58">
        <v>1.0438000000000001</v>
      </c>
      <c r="F58">
        <v>1.4648000000000001</v>
      </c>
      <c r="G58">
        <v>1.3552999999999999</v>
      </c>
      <c r="Y58" s="11"/>
    </row>
    <row r="59" spans="1:25">
      <c r="A59" s="581" t="s">
        <v>1577</v>
      </c>
      <c r="B59">
        <v>1.5409999999999999</v>
      </c>
      <c r="C59">
        <v>0.34810000000000002</v>
      </c>
      <c r="D59">
        <v>16.868200000000002</v>
      </c>
      <c r="E59">
        <v>0.98119999999999996</v>
      </c>
      <c r="F59">
        <v>1.3742000000000001</v>
      </c>
      <c r="G59">
        <v>1.165</v>
      </c>
      <c r="N59" s="12"/>
      <c r="O59" s="14"/>
      <c r="Q59" s="12"/>
      <c r="Y59" s="11"/>
    </row>
    <row r="60" spans="1:25">
      <c r="A60" s="581" t="s">
        <v>1578</v>
      </c>
      <c r="B60">
        <v>1.6397999999999999</v>
      </c>
      <c r="C60">
        <v>0.3019</v>
      </c>
      <c r="D60">
        <v>8.3155999999999999</v>
      </c>
      <c r="E60">
        <v>0.93230000000000002</v>
      </c>
      <c r="F60">
        <v>1.6765000000000001</v>
      </c>
      <c r="G60">
        <v>1.5487</v>
      </c>
      <c r="N60" s="12"/>
      <c r="O60" s="14"/>
      <c r="Q60" s="12"/>
      <c r="Y60" s="11"/>
    </row>
    <row r="61" spans="1:25">
      <c r="A61" s="581" t="s">
        <v>1579</v>
      </c>
      <c r="B61">
        <v>1.5893999999999999</v>
      </c>
      <c r="C61">
        <v>0.31730000000000003</v>
      </c>
      <c r="D61">
        <v>13.796900000000001</v>
      </c>
      <c r="E61">
        <v>0.88700000000000001</v>
      </c>
      <c r="F61">
        <v>1.4512</v>
      </c>
      <c r="G61">
        <v>1.2104999999999999</v>
      </c>
      <c r="Y61" s="11"/>
    </row>
    <row r="62" spans="1:25">
      <c r="A62" s="581" t="s">
        <v>1580</v>
      </c>
      <c r="B62">
        <v>1.6781999999999999</v>
      </c>
      <c r="C62">
        <v>0.39419999999999999</v>
      </c>
      <c r="D62">
        <v>10.0266</v>
      </c>
      <c r="E62">
        <v>0.96799999999999997</v>
      </c>
      <c r="F62">
        <v>1.4472</v>
      </c>
      <c r="G62">
        <v>1.4346000000000001</v>
      </c>
      <c r="Q62" s="12"/>
      <c r="Y62" s="11"/>
    </row>
    <row r="63" spans="1:25">
      <c r="A63" s="581" t="s">
        <v>1581</v>
      </c>
      <c r="B63">
        <v>0.91369999999999996</v>
      </c>
      <c r="C63">
        <v>0.1608</v>
      </c>
      <c r="D63">
        <v>4.5896999999999997</v>
      </c>
      <c r="E63">
        <v>0.56489999999999996</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sheetPr codeName="Sheet43">
    <tabColor rgb="FFFFFF00"/>
  </sheetPr>
  <dimension ref="A1:CX120"/>
  <sheetViews>
    <sheetView zoomScale="70" zoomScaleNormal="70" workbookViewId="0">
      <selection activeCell="J14" sqref="J14"/>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1.4581999999999999</v>
      </c>
      <c r="C2">
        <v>0.48039999999999999</v>
      </c>
      <c r="D2">
        <v>23.759499999999999</v>
      </c>
      <c r="E2">
        <v>0.67120000000000002</v>
      </c>
      <c r="F2">
        <v>1.3380000000000001</v>
      </c>
      <c r="G2">
        <v>1.2314000000000001</v>
      </c>
    </row>
    <row r="3" spans="1:87">
      <c r="A3" s="581" t="s">
        <v>1521</v>
      </c>
      <c r="B3">
        <v>1.3112999999999999</v>
      </c>
      <c r="C3">
        <v>0.42759999999999998</v>
      </c>
      <c r="D3">
        <v>20.430299999999999</v>
      </c>
      <c r="E3">
        <v>0.79859999999999998</v>
      </c>
      <c r="F3">
        <v>1.2265999999999999</v>
      </c>
      <c r="G3">
        <v>1.1375999999999999</v>
      </c>
    </row>
    <row r="4" spans="1:87">
      <c r="A4" s="581" t="s">
        <v>1522</v>
      </c>
      <c r="B4">
        <v>1</v>
      </c>
      <c r="C4">
        <v>0</v>
      </c>
      <c r="D4">
        <v>0</v>
      </c>
      <c r="E4">
        <v>0</v>
      </c>
      <c r="F4">
        <v>0</v>
      </c>
      <c r="G4">
        <v>0</v>
      </c>
      <c r="N4" s="17"/>
      <c r="U4" s="21"/>
      <c r="X4" s="21"/>
    </row>
    <row r="5" spans="1:87">
      <c r="A5" s="581" t="s">
        <v>1523</v>
      </c>
      <c r="B5">
        <v>1.3339000000000001</v>
      </c>
      <c r="C5">
        <v>0.40160000000000001</v>
      </c>
      <c r="D5">
        <v>8.1870999999999992</v>
      </c>
      <c r="E5">
        <v>0.78449999999999998</v>
      </c>
      <c r="F5">
        <v>1.2630999999999999</v>
      </c>
      <c r="G5">
        <v>1.4263999999999999</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1.2886</v>
      </c>
      <c r="C6">
        <v>0.2346</v>
      </c>
      <c r="D6">
        <v>5.6360000000000001</v>
      </c>
      <c r="E6">
        <v>0.59189999999999998</v>
      </c>
      <c r="F6">
        <v>1.5007999999999999</v>
      </c>
      <c r="G6">
        <v>1.5422</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1.1246</v>
      </c>
      <c r="C7">
        <v>0.1153</v>
      </c>
      <c r="D7">
        <v>1.7430000000000001</v>
      </c>
      <c r="E7">
        <v>0.76919999999999999</v>
      </c>
      <c r="F7">
        <v>1.4016</v>
      </c>
      <c r="G7">
        <v>2.1859000000000002</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1.4341999999999999</v>
      </c>
      <c r="C8">
        <v>0.43980000000000002</v>
      </c>
      <c r="D8">
        <v>9.6423000000000005</v>
      </c>
      <c r="E8">
        <v>0.78769999999999996</v>
      </c>
      <c r="F8">
        <v>1.3549</v>
      </c>
      <c r="G8">
        <v>1.5432999999999999</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1.3728</v>
      </c>
      <c r="C9">
        <v>0.34560000000000002</v>
      </c>
      <c r="D9">
        <v>9.3645999999999994</v>
      </c>
      <c r="E9">
        <v>0.56879999999999997</v>
      </c>
      <c r="F9">
        <v>1.3865000000000001</v>
      </c>
      <c r="G9">
        <v>1.4115</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1.4539</v>
      </c>
      <c r="C10">
        <v>0.32290000000000002</v>
      </c>
      <c r="D10">
        <v>7.1177999999999999</v>
      </c>
      <c r="E10">
        <v>0.6633</v>
      </c>
      <c r="F10">
        <v>1.6278999999999999</v>
      </c>
      <c r="G10">
        <v>1.7868999999999999</v>
      </c>
      <c r="U10" s="13"/>
      <c r="V10" s="23"/>
      <c r="W10" s="26"/>
      <c r="Y10" s="11"/>
      <c r="AM10" s="12"/>
      <c r="AV10" s="12"/>
      <c r="BE10" s="12"/>
      <c r="BN10" s="12"/>
      <c r="BW10" s="12"/>
      <c r="CF10" s="12"/>
    </row>
    <row r="11" spans="1:87">
      <c r="A11" s="581" t="s">
        <v>1529</v>
      </c>
      <c r="B11">
        <v>1</v>
      </c>
      <c r="C11">
        <v>0</v>
      </c>
      <c r="D11">
        <v>0</v>
      </c>
      <c r="E11">
        <v>0</v>
      </c>
      <c r="F11">
        <v>0</v>
      </c>
      <c r="G11">
        <v>0</v>
      </c>
      <c r="U11" s="13"/>
      <c r="V11" s="23"/>
      <c r="Y11" s="11"/>
      <c r="AM11" s="12"/>
      <c r="AP11" s="12"/>
      <c r="AV11" s="12"/>
      <c r="AY11" s="12"/>
      <c r="BE11" s="12"/>
      <c r="BH11" s="12"/>
      <c r="BN11" s="12"/>
      <c r="BQ11" s="12"/>
      <c r="BW11" s="12"/>
      <c r="BZ11" s="12"/>
      <c r="CF11" s="12"/>
      <c r="CI11" s="12"/>
    </row>
    <row r="12" spans="1:87">
      <c r="A12" s="581" t="s">
        <v>1530</v>
      </c>
      <c r="B12">
        <v>1.3508</v>
      </c>
      <c r="C12">
        <v>0.38929999999999998</v>
      </c>
      <c r="D12">
        <v>7.9250999999999996</v>
      </c>
      <c r="E12">
        <v>0.6552</v>
      </c>
      <c r="F12">
        <v>1.3035000000000001</v>
      </c>
      <c r="G12">
        <v>1.5024</v>
      </c>
      <c r="N12" s="15"/>
      <c r="U12" s="13"/>
      <c r="V12" s="23"/>
      <c r="Y12" s="11"/>
      <c r="AM12" s="12"/>
      <c r="AV12" s="12"/>
      <c r="BE12" s="12"/>
      <c r="BN12" s="12"/>
      <c r="BW12" s="12"/>
      <c r="CF12" s="12"/>
    </row>
    <row r="13" spans="1:87">
      <c r="A13" s="581" t="s">
        <v>1531</v>
      </c>
      <c r="B13">
        <v>1.4948999999999999</v>
      </c>
      <c r="C13">
        <v>0.67869999999999997</v>
      </c>
      <c r="D13">
        <v>11.408099999999999</v>
      </c>
      <c r="E13">
        <v>0.76570000000000005</v>
      </c>
      <c r="F13">
        <v>1.2349000000000001</v>
      </c>
      <c r="G13">
        <v>1.5322</v>
      </c>
      <c r="N13" s="16"/>
      <c r="U13" s="13"/>
      <c r="V13" s="23"/>
      <c r="Y13" s="11"/>
      <c r="AM13" s="12"/>
      <c r="AV13" s="12"/>
      <c r="BE13" s="12"/>
      <c r="BN13" s="12"/>
      <c r="BW13" s="12"/>
      <c r="CF13" s="12"/>
    </row>
    <row r="14" spans="1:87">
      <c r="A14" s="581" t="s">
        <v>1532</v>
      </c>
      <c r="B14">
        <v>1.1693</v>
      </c>
      <c r="C14">
        <v>0.1358</v>
      </c>
      <c r="D14">
        <v>2.2298</v>
      </c>
      <c r="E14">
        <v>0.8125</v>
      </c>
      <c r="F14">
        <v>1.3746</v>
      </c>
      <c r="G14">
        <v>1.7465999999999999</v>
      </c>
      <c r="N14" s="16"/>
      <c r="U14" s="13"/>
      <c r="V14" s="23"/>
      <c r="Y14" s="11"/>
      <c r="AM14" s="12"/>
      <c r="AV14" s="12"/>
      <c r="BE14" s="12"/>
      <c r="BN14" s="12"/>
      <c r="BW14" s="12"/>
      <c r="CF14" s="12"/>
    </row>
    <row r="15" spans="1:87">
      <c r="A15" s="581" t="s">
        <v>1533</v>
      </c>
      <c r="B15">
        <v>1</v>
      </c>
      <c r="C15">
        <v>0</v>
      </c>
      <c r="D15">
        <v>0</v>
      </c>
      <c r="E15">
        <v>0</v>
      </c>
      <c r="F15">
        <v>0</v>
      </c>
      <c r="G15">
        <v>0</v>
      </c>
      <c r="N15" s="15"/>
      <c r="U15" s="13"/>
      <c r="V15" s="23"/>
      <c r="Y15" s="11"/>
      <c r="AM15" s="12"/>
      <c r="AV15" s="12"/>
    </row>
    <row r="16" spans="1:87">
      <c r="A16" s="581" t="s">
        <v>1534</v>
      </c>
      <c r="B16">
        <v>1</v>
      </c>
      <c r="C16">
        <v>0</v>
      </c>
      <c r="D16">
        <v>0</v>
      </c>
      <c r="E16">
        <v>0</v>
      </c>
      <c r="F16">
        <v>0</v>
      </c>
      <c r="G16">
        <v>0</v>
      </c>
      <c r="U16" s="13"/>
      <c r="V16" s="23"/>
      <c r="Y16" s="11"/>
      <c r="AM16" s="12"/>
      <c r="AV16" s="12"/>
      <c r="BE16" s="12"/>
      <c r="BN16" s="12"/>
      <c r="BW16" s="12"/>
      <c r="CF16" s="12"/>
    </row>
    <row r="17" spans="1:87">
      <c r="A17" s="581" t="s">
        <v>1535</v>
      </c>
      <c r="B17">
        <v>1.2529999999999999</v>
      </c>
      <c r="C17">
        <v>0.15970000000000001</v>
      </c>
      <c r="D17">
        <v>4.2332000000000001</v>
      </c>
      <c r="E17">
        <v>0.46929999999999999</v>
      </c>
      <c r="F17">
        <v>1.7306999999999999</v>
      </c>
      <c r="G17">
        <v>1.722</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1.349</v>
      </c>
      <c r="C18">
        <v>0.34389999999999998</v>
      </c>
      <c r="D18">
        <v>7.3554000000000004</v>
      </c>
      <c r="E18">
        <v>0.71779999999999999</v>
      </c>
      <c r="F18">
        <v>1.3452</v>
      </c>
      <c r="G18">
        <v>1.5571999999999999</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1.3593</v>
      </c>
      <c r="C19">
        <v>0.4249</v>
      </c>
      <c r="D19">
        <v>7.3422000000000001</v>
      </c>
      <c r="E19">
        <v>0.80379999999999996</v>
      </c>
      <c r="F19">
        <v>1.2802</v>
      </c>
      <c r="G19">
        <v>1.6026</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1.3108</v>
      </c>
      <c r="C20">
        <v>0.2263</v>
      </c>
      <c r="D20">
        <v>5.694</v>
      </c>
      <c r="E20">
        <v>0.44280000000000003</v>
      </c>
      <c r="F20">
        <v>1.5452999999999999</v>
      </c>
      <c r="G20">
        <v>1.7427999999999999</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1.2751999999999999</v>
      </c>
      <c r="C21">
        <v>0.2281</v>
      </c>
      <c r="D21">
        <v>5.8708999999999998</v>
      </c>
      <c r="E21">
        <v>0.48199999999999998</v>
      </c>
      <c r="F21">
        <v>1.4510000000000001</v>
      </c>
      <c r="G21">
        <v>1.5102</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v>
      </c>
      <c r="C22">
        <v>0</v>
      </c>
      <c r="D22">
        <v>0</v>
      </c>
      <c r="E22">
        <v>0</v>
      </c>
      <c r="F22">
        <v>0</v>
      </c>
      <c r="G22">
        <v>0</v>
      </c>
      <c r="K22" s="17"/>
      <c r="L22" s="17"/>
      <c r="M22" s="17"/>
      <c r="N22" s="17"/>
      <c r="O22" s="17"/>
      <c r="P22" s="17"/>
      <c r="U22" s="13"/>
      <c r="V22" s="23"/>
      <c r="Y22" s="11"/>
      <c r="AM22" s="12"/>
      <c r="AV22" s="12"/>
      <c r="BE22" s="12"/>
      <c r="BN22" s="12"/>
      <c r="BW22" s="12"/>
      <c r="CF22" s="12"/>
    </row>
    <row r="23" spans="1:87">
      <c r="A23" s="581" t="s">
        <v>1541</v>
      </c>
      <c r="B23">
        <v>1</v>
      </c>
      <c r="C23">
        <v>0</v>
      </c>
      <c r="D23">
        <v>0</v>
      </c>
      <c r="E23">
        <v>0</v>
      </c>
      <c r="F23">
        <v>0</v>
      </c>
      <c r="G23">
        <v>0</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1.3808</v>
      </c>
      <c r="C24">
        <v>0.32140000000000002</v>
      </c>
      <c r="D24">
        <v>7.6840999999999999</v>
      </c>
      <c r="E24">
        <v>0.59789999999999999</v>
      </c>
      <c r="F24">
        <v>1.4435</v>
      </c>
      <c r="G24">
        <v>1.5786</v>
      </c>
      <c r="K24" s="17"/>
      <c r="L24" s="17"/>
      <c r="M24" s="17"/>
      <c r="N24" s="18"/>
      <c r="O24" s="18"/>
      <c r="P24" s="17"/>
      <c r="R24" s="11"/>
      <c r="U24" s="13"/>
      <c r="V24" s="23"/>
      <c r="Y24" s="11"/>
      <c r="AM24" s="12"/>
      <c r="AV24" s="12"/>
      <c r="BE24" s="12"/>
      <c r="BN24" s="12"/>
      <c r="BW24" s="12"/>
      <c r="CF24" s="12"/>
    </row>
    <row r="25" spans="1:87">
      <c r="A25" s="581" t="s">
        <v>1543</v>
      </c>
      <c r="B25">
        <v>1.1496</v>
      </c>
      <c r="C25">
        <v>0.19339999999999999</v>
      </c>
      <c r="D25">
        <v>2.5695999999999999</v>
      </c>
      <c r="E25">
        <v>0.3604</v>
      </c>
      <c r="F25">
        <v>1.2374000000000001</v>
      </c>
      <c r="G25">
        <v>1.7814000000000001</v>
      </c>
      <c r="K25" s="17"/>
      <c r="L25" s="17"/>
      <c r="M25" s="17"/>
      <c r="N25" s="18"/>
      <c r="O25" s="17"/>
      <c r="P25" s="17"/>
      <c r="U25" s="13"/>
      <c r="V25" s="23"/>
      <c r="Y25" s="11"/>
      <c r="AM25" s="12"/>
      <c r="AV25" s="12"/>
      <c r="BE25" s="12"/>
      <c r="BN25" s="12"/>
      <c r="BW25" s="12"/>
      <c r="CF25" s="12"/>
    </row>
    <row r="26" spans="1:87">
      <c r="A26" s="581" t="s">
        <v>1544</v>
      </c>
      <c r="B26">
        <v>1.2125999999999999</v>
      </c>
      <c r="C26">
        <v>0.2203</v>
      </c>
      <c r="D26">
        <v>3.1488</v>
      </c>
      <c r="E26">
        <v>0.48899999999999999</v>
      </c>
      <c r="F26">
        <v>1.3403</v>
      </c>
      <c r="G26">
        <v>1.9366000000000001</v>
      </c>
      <c r="Y26" s="11"/>
      <c r="AM26" s="12"/>
      <c r="AV26" s="12"/>
      <c r="BE26" s="12"/>
      <c r="BN26" s="12"/>
      <c r="BW26" s="12"/>
      <c r="CF26" s="12"/>
    </row>
    <row r="27" spans="1:87">
      <c r="A27" s="581" t="s">
        <v>1545</v>
      </c>
      <c r="B27">
        <v>1.1734</v>
      </c>
      <c r="C27">
        <v>0.1699</v>
      </c>
      <c r="D27">
        <v>3.7012999999999998</v>
      </c>
      <c r="E27">
        <v>0.4839</v>
      </c>
      <c r="F27">
        <v>1.3282</v>
      </c>
      <c r="G27">
        <v>1.4763999999999999</v>
      </c>
      <c r="M27" s="12"/>
      <c r="Y27" s="11"/>
      <c r="AM27" s="12"/>
      <c r="AV27" s="12"/>
    </row>
    <row r="28" spans="1:87">
      <c r="A28" s="581" t="s">
        <v>1546</v>
      </c>
      <c r="B28">
        <v>1.3246</v>
      </c>
      <c r="C28">
        <v>0.32019999999999998</v>
      </c>
      <c r="D28">
        <v>5.7622</v>
      </c>
      <c r="E28">
        <v>0.85219999999999996</v>
      </c>
      <c r="F28">
        <v>1.367</v>
      </c>
      <c r="G28">
        <v>1.7654000000000001</v>
      </c>
      <c r="M28" s="13"/>
      <c r="N28" s="12"/>
      <c r="O28" s="14"/>
      <c r="Q28" s="12"/>
      <c r="Y28" s="11"/>
      <c r="AM28" s="12"/>
      <c r="AV28" s="12"/>
      <c r="BE28" s="12"/>
      <c r="BN28" s="12"/>
      <c r="BW28" s="12"/>
      <c r="CF28" s="12"/>
    </row>
    <row r="29" spans="1:87">
      <c r="A29" s="581" t="s">
        <v>1547</v>
      </c>
      <c r="B29">
        <v>1.4091</v>
      </c>
      <c r="C29">
        <v>0.40089999999999998</v>
      </c>
      <c r="D29">
        <v>13.8734</v>
      </c>
      <c r="E29">
        <v>0.91979999999999995</v>
      </c>
      <c r="F29">
        <v>1.3354999999999999</v>
      </c>
      <c r="G29">
        <v>1.2942</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1.4086000000000001</v>
      </c>
      <c r="C30">
        <v>0.32169999999999999</v>
      </c>
      <c r="D30">
        <v>6.8257000000000003</v>
      </c>
      <c r="E30">
        <v>0.68520000000000003</v>
      </c>
      <c r="F30">
        <v>1.6535</v>
      </c>
      <c r="G30">
        <v>2.1488999999999998</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v>
      </c>
      <c r="C31">
        <v>0</v>
      </c>
      <c r="D31">
        <v>0</v>
      </c>
      <c r="E31">
        <v>0</v>
      </c>
      <c r="F31">
        <v>0</v>
      </c>
      <c r="G31">
        <v>0</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1.3287</v>
      </c>
      <c r="C32">
        <v>0.25069999999999998</v>
      </c>
      <c r="D32">
        <v>4.4058000000000002</v>
      </c>
      <c r="E32">
        <v>0.61140000000000005</v>
      </c>
      <c r="F32">
        <v>1.6039000000000001</v>
      </c>
      <c r="G32">
        <v>2.4251999999999998</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1.367</v>
      </c>
      <c r="C33">
        <v>0.3609</v>
      </c>
      <c r="D33">
        <v>8.6488999999999994</v>
      </c>
      <c r="E33">
        <v>0.69199999999999995</v>
      </c>
      <c r="F33">
        <v>1.3972</v>
      </c>
      <c r="G33">
        <v>1.5329999999999999</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1.2846</v>
      </c>
      <c r="C34">
        <v>0.37280000000000002</v>
      </c>
      <c r="D34">
        <v>11.534700000000001</v>
      </c>
      <c r="E34">
        <v>0.88300000000000001</v>
      </c>
      <c r="F34">
        <v>1.2470000000000001</v>
      </c>
      <c r="G34">
        <v>1.2431000000000001</v>
      </c>
      <c r="K34" s="17"/>
      <c r="L34" s="17"/>
      <c r="M34" s="17"/>
      <c r="N34" s="17"/>
      <c r="O34" s="17"/>
      <c r="P34" s="17"/>
      <c r="Y34" s="11"/>
      <c r="AM34" s="12"/>
      <c r="AV34" s="12"/>
      <c r="BE34" s="12"/>
      <c r="BN34" s="12"/>
      <c r="BW34" s="12"/>
      <c r="CF34" s="12"/>
    </row>
    <row r="35" spans="1:87">
      <c r="A35" s="581" t="s">
        <v>1553</v>
      </c>
      <c r="B35">
        <v>1</v>
      </c>
      <c r="C35">
        <v>0</v>
      </c>
      <c r="D35">
        <v>0</v>
      </c>
      <c r="E35">
        <v>0</v>
      </c>
      <c r="F35">
        <v>0</v>
      </c>
      <c r="G35">
        <v>0</v>
      </c>
      <c r="K35" s="17"/>
      <c r="L35" s="17"/>
      <c r="M35" s="17"/>
      <c r="N35" s="18"/>
      <c r="O35" s="18"/>
      <c r="P35" s="17"/>
      <c r="Y35" s="11"/>
      <c r="AM35" s="12"/>
      <c r="AP35" s="12"/>
      <c r="AV35" s="12"/>
      <c r="AY35" s="12"/>
      <c r="BE35" s="12"/>
      <c r="BH35" s="12"/>
      <c r="BN35" s="12"/>
      <c r="BQ35" s="12"/>
      <c r="BW35" s="12"/>
      <c r="BZ35" s="12"/>
      <c r="CF35" s="12"/>
      <c r="CI35" s="12"/>
    </row>
    <row r="36" spans="1:87">
      <c r="A36" s="581" t="s">
        <v>1554</v>
      </c>
      <c r="B36">
        <v>1.5065</v>
      </c>
      <c r="C36">
        <v>0.63680000000000003</v>
      </c>
      <c r="D36">
        <v>14.4857</v>
      </c>
      <c r="E36">
        <v>1.0107999999999999</v>
      </c>
      <c r="F36">
        <v>1.2685</v>
      </c>
      <c r="G36">
        <v>1.4083000000000001</v>
      </c>
      <c r="K36" s="17"/>
      <c r="L36" s="17"/>
      <c r="M36" s="17"/>
      <c r="N36" s="18"/>
      <c r="O36" s="18"/>
      <c r="P36" s="17"/>
      <c r="Y36" s="11"/>
      <c r="AM36" s="12"/>
      <c r="AV36" s="12"/>
      <c r="BE36" s="12"/>
      <c r="BN36" s="12"/>
      <c r="BW36" s="12"/>
      <c r="CF36" s="12"/>
    </row>
    <row r="37" spans="1:87">
      <c r="A37" s="581" t="s">
        <v>1555</v>
      </c>
      <c r="B37">
        <v>1.4562999999999999</v>
      </c>
      <c r="C37">
        <v>0.52290000000000003</v>
      </c>
      <c r="D37">
        <v>13.801399999999999</v>
      </c>
      <c r="E37">
        <v>1.0196000000000001</v>
      </c>
      <c r="F37">
        <v>1.272</v>
      </c>
      <c r="G37">
        <v>1.357</v>
      </c>
      <c r="K37" s="17"/>
      <c r="L37" s="17"/>
      <c r="M37" s="17"/>
      <c r="N37" s="17"/>
      <c r="O37" s="17"/>
      <c r="P37" s="17"/>
      <c r="Y37" s="11"/>
    </row>
    <row r="38" spans="1:87">
      <c r="A38" s="581" t="s">
        <v>1556</v>
      </c>
      <c r="B38">
        <v>1.4004000000000001</v>
      </c>
      <c r="C38">
        <v>0.46810000000000002</v>
      </c>
      <c r="D38">
        <v>9.1155000000000008</v>
      </c>
      <c r="E38">
        <v>0.72099999999999997</v>
      </c>
      <c r="F38">
        <v>1.2823</v>
      </c>
      <c r="G38">
        <v>1.5147999999999999</v>
      </c>
      <c r="Y38" s="11"/>
    </row>
    <row r="39" spans="1:87">
      <c r="A39" s="581" t="s">
        <v>1557</v>
      </c>
      <c r="B39">
        <v>1.3706</v>
      </c>
      <c r="C39">
        <v>0.35880000000000001</v>
      </c>
      <c r="D39">
        <v>9.76</v>
      </c>
      <c r="E39">
        <v>0.80689999999999995</v>
      </c>
      <c r="F39">
        <v>1.3495999999999999</v>
      </c>
      <c r="G39">
        <v>1.4188000000000001</v>
      </c>
      <c r="Y39" s="11"/>
    </row>
    <row r="40" spans="1:87">
      <c r="A40" s="581" t="s">
        <v>1558</v>
      </c>
      <c r="B40">
        <v>1.3090999999999999</v>
      </c>
      <c r="C40">
        <v>0.35510000000000003</v>
      </c>
      <c r="D40">
        <v>4.9175000000000004</v>
      </c>
      <c r="E40">
        <v>0.55969999999999998</v>
      </c>
      <c r="F40">
        <v>1.2878000000000001</v>
      </c>
      <c r="G40">
        <v>1.8959999999999999</v>
      </c>
      <c r="N40" s="12"/>
      <c r="O40" s="14"/>
      <c r="Q40" s="12"/>
      <c r="Y40" s="11"/>
    </row>
    <row r="41" spans="1:87">
      <c r="A41" s="581" t="s">
        <v>1559</v>
      </c>
      <c r="B41">
        <v>1.3295999999999999</v>
      </c>
      <c r="C41">
        <v>0.20960000000000001</v>
      </c>
      <c r="D41">
        <v>3.8313000000000001</v>
      </c>
      <c r="E41">
        <v>0.77270000000000005</v>
      </c>
      <c r="F41">
        <v>1.5838000000000001</v>
      </c>
      <c r="G41">
        <v>2.1444000000000001</v>
      </c>
      <c r="N41" s="12"/>
      <c r="O41" s="14"/>
      <c r="Q41" s="12"/>
      <c r="Y41" s="11"/>
    </row>
    <row r="42" spans="1:87">
      <c r="A42" s="581" t="s">
        <v>1560</v>
      </c>
      <c r="B42">
        <v>1.3684000000000001</v>
      </c>
      <c r="C42">
        <v>0.25319999999999998</v>
      </c>
      <c r="D42">
        <v>4.7948000000000004</v>
      </c>
      <c r="E42">
        <v>0.70630000000000004</v>
      </c>
      <c r="F42">
        <v>1.5903</v>
      </c>
      <c r="G42">
        <v>2.3108</v>
      </c>
      <c r="Y42" s="11"/>
    </row>
    <row r="43" spans="1:87">
      <c r="A43" s="581" t="s">
        <v>1561</v>
      </c>
      <c r="B43">
        <v>1.3788</v>
      </c>
      <c r="C43">
        <v>0.24049999999999999</v>
      </c>
      <c r="D43">
        <v>4.9755000000000003</v>
      </c>
      <c r="E43">
        <v>0.79700000000000004</v>
      </c>
      <c r="F43">
        <v>1.6224000000000001</v>
      </c>
      <c r="G43">
        <v>2.0649000000000002</v>
      </c>
      <c r="Q43" s="12"/>
      <c r="Y43" s="11"/>
    </row>
    <row r="44" spans="1:87">
      <c r="A44" s="581" t="s">
        <v>1562</v>
      </c>
      <c r="B44">
        <v>1.4836</v>
      </c>
      <c r="C44">
        <v>0.3448</v>
      </c>
      <c r="D44">
        <v>7.2336</v>
      </c>
      <c r="E44">
        <v>0.66049999999999998</v>
      </c>
      <c r="F44">
        <v>1.5143</v>
      </c>
      <c r="G44">
        <v>1.8619000000000001</v>
      </c>
      <c r="Y44" s="11"/>
    </row>
    <row r="45" spans="1:87">
      <c r="A45" s="581" t="s">
        <v>1563</v>
      </c>
      <c r="B45">
        <v>1.5891</v>
      </c>
      <c r="C45">
        <v>0.50660000000000005</v>
      </c>
      <c r="D45">
        <v>9.1506000000000007</v>
      </c>
      <c r="E45">
        <v>1.0237000000000001</v>
      </c>
      <c r="F45">
        <v>1.4856</v>
      </c>
      <c r="G45">
        <v>1.8357000000000001</v>
      </c>
      <c r="Q45" s="12"/>
      <c r="Y45" s="11"/>
    </row>
    <row r="46" spans="1:87">
      <c r="A46" s="581" t="s">
        <v>1564</v>
      </c>
      <c r="B46">
        <v>1</v>
      </c>
      <c r="C46">
        <v>0</v>
      </c>
      <c r="D46">
        <v>0</v>
      </c>
      <c r="E46">
        <v>0</v>
      </c>
      <c r="F46">
        <v>0</v>
      </c>
      <c r="G46">
        <v>0</v>
      </c>
      <c r="Q46" s="16"/>
      <c r="Y46" s="11"/>
    </row>
    <row r="47" spans="1:87">
      <c r="A47" s="581" t="s">
        <v>1565</v>
      </c>
      <c r="B47">
        <v>1.2630999999999999</v>
      </c>
      <c r="C47">
        <v>0.15049999999999999</v>
      </c>
      <c r="D47">
        <v>9.4245999999999999</v>
      </c>
      <c r="E47">
        <v>0.85940000000000005</v>
      </c>
      <c r="F47">
        <v>1.6395999999999999</v>
      </c>
      <c r="G47">
        <v>1.2512000000000001</v>
      </c>
      <c r="Q47" s="16"/>
      <c r="Y47" s="11"/>
    </row>
    <row r="48" spans="1:87">
      <c r="A48" s="581" t="s">
        <v>1566</v>
      </c>
      <c r="B48">
        <v>1.4234</v>
      </c>
      <c r="C48">
        <v>0.38419999999999999</v>
      </c>
      <c r="D48">
        <v>7.0498000000000003</v>
      </c>
      <c r="E48">
        <v>0.99529999999999996</v>
      </c>
      <c r="F48">
        <v>1.3966000000000001</v>
      </c>
      <c r="G48">
        <v>1.7779</v>
      </c>
      <c r="Y48" s="11"/>
    </row>
    <row r="49" spans="1:25">
      <c r="A49" s="581" t="s">
        <v>1567</v>
      </c>
      <c r="B49">
        <v>1.4950000000000001</v>
      </c>
      <c r="C49">
        <v>0.5978</v>
      </c>
      <c r="D49">
        <v>10.8161</v>
      </c>
      <c r="E49">
        <v>1.0256000000000001</v>
      </c>
      <c r="F49">
        <v>1.2656000000000001</v>
      </c>
      <c r="G49">
        <v>1.5867</v>
      </c>
      <c r="Y49" s="11"/>
    </row>
    <row r="50" spans="1:25">
      <c r="A50" s="581" t="s">
        <v>1568</v>
      </c>
      <c r="B50">
        <v>1.5058</v>
      </c>
      <c r="C50">
        <v>0.59150000000000003</v>
      </c>
      <c r="D50">
        <v>8.2530000000000001</v>
      </c>
      <c r="E50">
        <v>0.96599999999999997</v>
      </c>
      <c r="F50">
        <v>1.2831999999999999</v>
      </c>
      <c r="G50">
        <v>1.931</v>
      </c>
      <c r="Y50" s="11"/>
    </row>
    <row r="51" spans="1:25">
      <c r="A51" s="581" t="s">
        <v>1569</v>
      </c>
      <c r="B51">
        <v>1.4335</v>
      </c>
      <c r="C51">
        <v>0.44769999999999999</v>
      </c>
      <c r="D51">
        <v>16.105599999999999</v>
      </c>
      <c r="E51">
        <v>0.94169999999999998</v>
      </c>
      <c r="F51">
        <v>1.3284</v>
      </c>
      <c r="G51">
        <v>1.2703</v>
      </c>
      <c r="Y51" s="11"/>
    </row>
    <row r="52" spans="1:25">
      <c r="A52" s="581" t="s">
        <v>1570</v>
      </c>
      <c r="B52">
        <v>1.5324</v>
      </c>
      <c r="C52">
        <v>0.41199999999999998</v>
      </c>
      <c r="D52">
        <v>8.1514000000000006</v>
      </c>
      <c r="E52">
        <v>0.83479999999999999</v>
      </c>
      <c r="F52">
        <v>1.5247999999999999</v>
      </c>
      <c r="G52">
        <v>1.8692</v>
      </c>
      <c r="Y52" s="11"/>
    </row>
    <row r="53" spans="1:25">
      <c r="A53" s="581" t="s">
        <v>1571</v>
      </c>
      <c r="B53">
        <v>1.5045999999999999</v>
      </c>
      <c r="C53">
        <v>0.58309999999999995</v>
      </c>
      <c r="D53">
        <v>19.679300000000001</v>
      </c>
      <c r="E53">
        <v>0.97529999999999994</v>
      </c>
      <c r="F53">
        <v>1.2555000000000001</v>
      </c>
      <c r="G53">
        <v>1.2609999999999999</v>
      </c>
      <c r="K53" s="17"/>
      <c r="N53" s="17"/>
      <c r="O53" s="17"/>
      <c r="P53" s="17"/>
      <c r="Y53" s="11"/>
    </row>
    <row r="54" spans="1:25">
      <c r="A54" s="581" t="s">
        <v>1572</v>
      </c>
      <c r="B54">
        <v>1.5359</v>
      </c>
      <c r="C54">
        <v>0.60670000000000002</v>
      </c>
      <c r="D54">
        <v>11.8688</v>
      </c>
      <c r="E54">
        <v>1.0253000000000001</v>
      </c>
      <c r="F54">
        <v>1.3004</v>
      </c>
      <c r="G54">
        <v>1.5663</v>
      </c>
      <c r="K54" s="17"/>
      <c r="N54" s="12"/>
      <c r="O54" s="12"/>
      <c r="Y54" s="11"/>
    </row>
    <row r="55" spans="1:25">
      <c r="A55" s="581" t="s">
        <v>1573</v>
      </c>
      <c r="B55">
        <v>1.5732999999999999</v>
      </c>
      <c r="C55">
        <v>0.49309999999999998</v>
      </c>
      <c r="D55">
        <v>10.872999999999999</v>
      </c>
      <c r="E55">
        <v>0.90469999999999995</v>
      </c>
      <c r="F55">
        <v>1.3652</v>
      </c>
      <c r="G55">
        <v>1.6998</v>
      </c>
      <c r="K55" s="17"/>
      <c r="N55" s="12"/>
      <c r="O55" s="12"/>
      <c r="Y55" s="11"/>
    </row>
    <row r="56" spans="1:25">
      <c r="A56" s="581" t="s">
        <v>1574</v>
      </c>
      <c r="B56">
        <v>1.5044999999999999</v>
      </c>
      <c r="C56">
        <v>0.5454</v>
      </c>
      <c r="D56">
        <v>17.8536</v>
      </c>
      <c r="E56">
        <v>0.99560000000000004</v>
      </c>
      <c r="F56">
        <v>1.286</v>
      </c>
      <c r="G56">
        <v>1.2891999999999999</v>
      </c>
      <c r="K56" s="17"/>
      <c r="Y56" s="11"/>
    </row>
    <row r="57" spans="1:25">
      <c r="A57" s="581" t="s">
        <v>1575</v>
      </c>
      <c r="B57">
        <v>1.5561</v>
      </c>
      <c r="C57">
        <v>0.58940000000000003</v>
      </c>
      <c r="D57">
        <v>24.918800000000001</v>
      </c>
      <c r="E57">
        <v>0.99099999999999999</v>
      </c>
      <c r="F57">
        <v>1.2977000000000001</v>
      </c>
      <c r="G57">
        <v>1.2141999999999999</v>
      </c>
      <c r="Y57" s="11"/>
    </row>
    <row r="58" spans="1:25">
      <c r="A58" s="581" t="s">
        <v>1576</v>
      </c>
      <c r="B58">
        <v>1.5497000000000001</v>
      </c>
      <c r="C58">
        <v>0.46550000000000002</v>
      </c>
      <c r="D58">
        <v>16.5898</v>
      </c>
      <c r="E58">
        <v>0.94810000000000005</v>
      </c>
      <c r="F58">
        <v>1.3668</v>
      </c>
      <c r="G58">
        <v>1.3448</v>
      </c>
      <c r="Y58" s="11"/>
    </row>
    <row r="59" spans="1:25">
      <c r="A59" s="581" t="s">
        <v>1577</v>
      </c>
      <c r="B59">
        <v>1.4224000000000001</v>
      </c>
      <c r="C59">
        <v>0.40910000000000002</v>
      </c>
      <c r="D59">
        <v>20.662400000000002</v>
      </c>
      <c r="E59">
        <v>0.91339999999999999</v>
      </c>
      <c r="F59">
        <v>1.3433999999999999</v>
      </c>
      <c r="G59">
        <v>1.1870000000000001</v>
      </c>
      <c r="N59" s="12"/>
      <c r="O59" s="14"/>
      <c r="Q59" s="12"/>
      <c r="Y59" s="11"/>
    </row>
    <row r="60" spans="1:25">
      <c r="A60" s="581" t="s">
        <v>1578</v>
      </c>
      <c r="B60">
        <v>1.5068999999999999</v>
      </c>
      <c r="C60">
        <v>0.36759999999999998</v>
      </c>
      <c r="D60">
        <v>10.858000000000001</v>
      </c>
      <c r="E60">
        <v>0.85589999999999999</v>
      </c>
      <c r="F60">
        <v>1.5801000000000001</v>
      </c>
      <c r="G60">
        <v>1.5652999999999999</v>
      </c>
      <c r="N60" s="12"/>
      <c r="O60" s="14"/>
      <c r="Q60" s="12"/>
      <c r="Y60" s="11"/>
    </row>
    <row r="61" spans="1:25">
      <c r="A61" s="581" t="s">
        <v>1579</v>
      </c>
      <c r="B61">
        <v>1.4486000000000001</v>
      </c>
      <c r="C61">
        <v>0.40660000000000002</v>
      </c>
      <c r="D61">
        <v>18.8049</v>
      </c>
      <c r="E61">
        <v>0.81410000000000005</v>
      </c>
      <c r="F61">
        <v>1.3698999999999999</v>
      </c>
      <c r="G61">
        <v>1.2154</v>
      </c>
      <c r="Y61" s="11"/>
    </row>
    <row r="62" spans="1:25">
      <c r="A62" s="581" t="s">
        <v>1580</v>
      </c>
      <c r="B62">
        <v>1.5544</v>
      </c>
      <c r="C62">
        <v>0.46239999999999998</v>
      </c>
      <c r="D62">
        <v>12.3278</v>
      </c>
      <c r="E62">
        <v>0.89839999999999998</v>
      </c>
      <c r="F62">
        <v>1.4351</v>
      </c>
      <c r="G62">
        <v>1.4910000000000001</v>
      </c>
      <c r="Q62" s="12"/>
      <c r="Y62" s="11"/>
    </row>
    <row r="63" spans="1:25">
      <c r="A63" s="581" t="s">
        <v>1581</v>
      </c>
      <c r="B63">
        <v>0.73199999999999998</v>
      </c>
      <c r="C63">
        <v>0.1867</v>
      </c>
      <c r="D63">
        <v>6.1669</v>
      </c>
      <c r="E63">
        <v>0.46260000000000001</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sheetPr codeName="Sheet42">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1.5353000000000001</v>
      </c>
      <c r="C2">
        <v>0.48060000000000003</v>
      </c>
      <c r="D2">
        <v>23.2667</v>
      </c>
      <c r="E2">
        <v>0.70650000000000002</v>
      </c>
      <c r="F2">
        <v>1.3824000000000001</v>
      </c>
      <c r="G2">
        <v>1.2454000000000001</v>
      </c>
    </row>
    <row r="3" spans="1:87">
      <c r="A3" s="581" t="s">
        <v>1521</v>
      </c>
      <c r="B3">
        <v>1.6055999999999999</v>
      </c>
      <c r="C3">
        <v>0.64339999999999997</v>
      </c>
      <c r="D3">
        <v>29.966799999999999</v>
      </c>
      <c r="E3">
        <v>0.94689999999999996</v>
      </c>
      <c r="F3">
        <v>1.2426999999999999</v>
      </c>
      <c r="G3">
        <v>1.1234999999999999</v>
      </c>
    </row>
    <row r="4" spans="1:87">
      <c r="A4" s="581" t="s">
        <v>1522</v>
      </c>
      <c r="B4">
        <v>1</v>
      </c>
      <c r="C4">
        <v>0</v>
      </c>
      <c r="D4">
        <v>0</v>
      </c>
      <c r="E4">
        <v>0</v>
      </c>
      <c r="F4">
        <v>0</v>
      </c>
      <c r="G4">
        <v>0</v>
      </c>
      <c r="N4" s="17"/>
      <c r="U4" s="21"/>
      <c r="X4" s="21"/>
    </row>
    <row r="5" spans="1:87">
      <c r="A5" s="581" t="s">
        <v>1523</v>
      </c>
      <c r="B5">
        <v>1.3220000000000001</v>
      </c>
      <c r="C5">
        <v>0.37519999999999998</v>
      </c>
      <c r="D5">
        <v>7.282</v>
      </c>
      <c r="E5">
        <v>0.76910000000000001</v>
      </c>
      <c r="F5">
        <v>1.2264999999999999</v>
      </c>
      <c r="G5">
        <v>1.3185</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v>
      </c>
      <c r="C6">
        <v>0</v>
      </c>
      <c r="D6">
        <v>0</v>
      </c>
      <c r="E6">
        <v>0</v>
      </c>
      <c r="F6">
        <v>0</v>
      </c>
      <c r="G6">
        <v>0</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1.1536999999999999</v>
      </c>
      <c r="C7">
        <v>0.1497</v>
      </c>
      <c r="D7">
        <v>1.998</v>
      </c>
      <c r="E7">
        <v>0.78410000000000002</v>
      </c>
      <c r="F7">
        <v>1.2941</v>
      </c>
      <c r="G7">
        <v>1.782</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1.43</v>
      </c>
      <c r="C8">
        <v>0.33529999999999999</v>
      </c>
      <c r="D8">
        <v>7.0076000000000001</v>
      </c>
      <c r="E8">
        <v>0.76790000000000003</v>
      </c>
      <c r="F8">
        <v>1.3811</v>
      </c>
      <c r="G8">
        <v>1.4995000000000001</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1.4394</v>
      </c>
      <c r="C9">
        <v>0.33779999999999999</v>
      </c>
      <c r="D9">
        <v>8.7422000000000004</v>
      </c>
      <c r="E9">
        <v>0.59040000000000004</v>
      </c>
      <c r="F9">
        <v>1.3948</v>
      </c>
      <c r="G9">
        <v>1.3562000000000001</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1.4621999999999999</v>
      </c>
      <c r="C10">
        <v>0.27210000000000001</v>
      </c>
      <c r="D10">
        <v>5.6756000000000002</v>
      </c>
      <c r="E10">
        <v>0.64770000000000005</v>
      </c>
      <c r="F10">
        <v>1.5427999999999999</v>
      </c>
      <c r="G10">
        <v>1.6024</v>
      </c>
      <c r="U10" s="13"/>
      <c r="V10" s="23"/>
      <c r="W10" s="26"/>
      <c r="Y10" s="11"/>
      <c r="AM10" s="12"/>
      <c r="AV10" s="12"/>
      <c r="BE10" s="12"/>
      <c r="BN10" s="12"/>
      <c r="BW10" s="12"/>
      <c r="CF10" s="12"/>
    </row>
    <row r="11" spans="1:87">
      <c r="A11" s="581" t="s">
        <v>1529</v>
      </c>
      <c r="B11">
        <v>1.3502000000000001</v>
      </c>
      <c r="C11">
        <v>0.23050000000000001</v>
      </c>
      <c r="D11">
        <v>5.44</v>
      </c>
      <c r="E11">
        <v>0.40389999999999998</v>
      </c>
      <c r="F11">
        <v>1.4743999999999999</v>
      </c>
      <c r="G11">
        <v>1.4542999999999999</v>
      </c>
      <c r="U11" s="13"/>
      <c r="V11" s="23"/>
      <c r="Y11" s="11"/>
      <c r="AM11" s="12"/>
      <c r="AP11" s="12"/>
      <c r="AV11" s="12"/>
      <c r="AY11" s="12"/>
      <c r="BE11" s="12"/>
      <c r="BH11" s="12"/>
      <c r="BN11" s="12"/>
      <c r="BQ11" s="12"/>
      <c r="BW11" s="12"/>
      <c r="BZ11" s="12"/>
      <c r="CF11" s="12"/>
      <c r="CI11" s="12"/>
    </row>
    <row r="12" spans="1:87">
      <c r="A12" s="581" t="s">
        <v>1530</v>
      </c>
      <c r="B12">
        <v>1.39</v>
      </c>
      <c r="C12">
        <v>0.25900000000000001</v>
      </c>
      <c r="D12">
        <v>4.9991000000000003</v>
      </c>
      <c r="E12">
        <v>0.6512</v>
      </c>
      <c r="F12">
        <v>1.4449000000000001</v>
      </c>
      <c r="G12">
        <v>1.5790999999999999</v>
      </c>
      <c r="N12" s="15"/>
      <c r="U12" s="13"/>
      <c r="V12" s="23"/>
      <c r="Y12" s="11"/>
      <c r="AM12" s="12"/>
      <c r="AV12" s="12"/>
      <c r="BE12" s="12"/>
      <c r="BN12" s="12"/>
      <c r="BW12" s="12"/>
      <c r="CF12" s="12"/>
    </row>
    <row r="13" spans="1:87">
      <c r="A13" s="581" t="s">
        <v>1531</v>
      </c>
      <c r="B13">
        <v>1.3797999999999999</v>
      </c>
      <c r="C13">
        <v>0.36209999999999998</v>
      </c>
      <c r="D13">
        <v>5.7427000000000001</v>
      </c>
      <c r="E13">
        <v>0.67800000000000005</v>
      </c>
      <c r="F13">
        <v>1.2842</v>
      </c>
      <c r="G13">
        <v>1.5031000000000001</v>
      </c>
      <c r="N13" s="16"/>
      <c r="U13" s="13"/>
      <c r="V13" s="23"/>
      <c r="Y13" s="11"/>
      <c r="AM13" s="12"/>
      <c r="AV13" s="12"/>
      <c r="BE13" s="12"/>
      <c r="BN13" s="12"/>
      <c r="BW13" s="12"/>
      <c r="CF13" s="12"/>
    </row>
    <row r="14" spans="1:87">
      <c r="A14" s="581" t="s">
        <v>1532</v>
      </c>
      <c r="B14">
        <v>1.1432</v>
      </c>
      <c r="C14">
        <v>0.1351</v>
      </c>
      <c r="D14">
        <v>2.0583</v>
      </c>
      <c r="E14">
        <v>0.78949999999999998</v>
      </c>
      <c r="F14">
        <v>1.2902</v>
      </c>
      <c r="G14">
        <v>1.5207999999999999</v>
      </c>
      <c r="N14" s="16"/>
      <c r="U14" s="13"/>
      <c r="V14" s="23"/>
      <c r="Y14" s="11"/>
      <c r="AM14" s="12"/>
      <c r="AV14" s="12"/>
      <c r="BE14" s="12"/>
      <c r="BN14" s="12"/>
      <c r="BW14" s="12"/>
      <c r="CF14" s="12"/>
    </row>
    <row r="15" spans="1:87">
      <c r="A15" s="581" t="s">
        <v>1533</v>
      </c>
      <c r="B15">
        <v>1.333</v>
      </c>
      <c r="C15">
        <v>0.2631</v>
      </c>
      <c r="D15">
        <v>4.7998000000000003</v>
      </c>
      <c r="E15">
        <v>0.58199999999999996</v>
      </c>
      <c r="F15">
        <v>1.3617999999999999</v>
      </c>
      <c r="G15">
        <v>1.4883999999999999</v>
      </c>
      <c r="N15" s="15"/>
      <c r="U15" s="13"/>
      <c r="V15" s="23"/>
      <c r="Y15" s="11"/>
      <c r="AM15" s="12"/>
      <c r="AV15" s="12"/>
    </row>
    <row r="16" spans="1:87">
      <c r="A16" s="581" t="s">
        <v>1534</v>
      </c>
      <c r="B16">
        <v>1.3634999999999999</v>
      </c>
      <c r="C16">
        <v>0.21659999999999999</v>
      </c>
      <c r="D16">
        <v>5.4442000000000004</v>
      </c>
      <c r="E16">
        <v>0.35339999999999999</v>
      </c>
      <c r="F16">
        <v>1.5091000000000001</v>
      </c>
      <c r="G16">
        <v>1.4193</v>
      </c>
      <c r="U16" s="13"/>
      <c r="V16" s="23"/>
      <c r="Y16" s="11"/>
      <c r="AM16" s="12"/>
      <c r="AV16" s="12"/>
      <c r="BE16" s="12"/>
      <c r="BN16" s="12"/>
      <c r="BW16" s="12"/>
      <c r="CF16" s="12"/>
    </row>
    <row r="17" spans="1:87">
      <c r="A17" s="581" t="s">
        <v>1535</v>
      </c>
      <c r="B17">
        <v>1.3319000000000001</v>
      </c>
      <c r="C17">
        <v>0.26069999999999999</v>
      </c>
      <c r="D17">
        <v>6.8201000000000001</v>
      </c>
      <c r="E17">
        <v>0.50490000000000002</v>
      </c>
      <c r="F17">
        <v>1.3638999999999999</v>
      </c>
      <c r="G17">
        <v>1.3394999999999999</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1.3884000000000001</v>
      </c>
      <c r="C18">
        <v>0.35580000000000001</v>
      </c>
      <c r="D18">
        <v>7.1090999999999998</v>
      </c>
      <c r="E18">
        <v>0.72589999999999999</v>
      </c>
      <c r="F18">
        <v>1.3025</v>
      </c>
      <c r="G18">
        <v>1.4083000000000001</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1.353</v>
      </c>
      <c r="C19">
        <v>0.26779999999999998</v>
      </c>
      <c r="D19">
        <v>4.4206000000000003</v>
      </c>
      <c r="E19">
        <v>0.78129999999999999</v>
      </c>
      <c r="F19">
        <v>1.3675999999999999</v>
      </c>
      <c r="G19">
        <v>1.6352</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1.6334</v>
      </c>
      <c r="C20">
        <v>0.2379</v>
      </c>
      <c r="D20">
        <v>5.9447000000000001</v>
      </c>
      <c r="E20">
        <v>0.55740000000000001</v>
      </c>
      <c r="F20">
        <v>2.1084999999999998</v>
      </c>
      <c r="G20">
        <v>2.3618000000000001</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1.3787</v>
      </c>
      <c r="C21">
        <v>0.24579999999999999</v>
      </c>
      <c r="D21">
        <v>5.9473000000000003</v>
      </c>
      <c r="E21">
        <v>0.5242</v>
      </c>
      <c r="F21">
        <v>1.4635</v>
      </c>
      <c r="G21">
        <v>1.4317</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1.4551000000000001</v>
      </c>
      <c r="C22">
        <v>0.55359999999999998</v>
      </c>
      <c r="D22">
        <v>15.290900000000001</v>
      </c>
      <c r="E22">
        <v>0.92369999999999997</v>
      </c>
      <c r="F22">
        <v>1.2304999999999999</v>
      </c>
      <c r="G22">
        <v>1.2216</v>
      </c>
      <c r="K22" s="17"/>
      <c r="L22" s="17"/>
      <c r="M22" s="17"/>
      <c r="N22" s="17"/>
      <c r="O22" s="17"/>
      <c r="P22" s="17"/>
      <c r="U22" s="13"/>
      <c r="V22" s="23"/>
      <c r="Y22" s="11"/>
      <c r="AM22" s="12"/>
      <c r="AV22" s="12"/>
      <c r="BE22" s="12"/>
      <c r="BN22" s="12"/>
      <c r="BW22" s="12"/>
      <c r="CF22" s="12"/>
    </row>
    <row r="23" spans="1:87">
      <c r="A23" s="581" t="s">
        <v>1541</v>
      </c>
      <c r="B23">
        <v>1.3455999999999999</v>
      </c>
      <c r="C23">
        <v>0.2462</v>
      </c>
      <c r="D23">
        <v>4.4589999999999996</v>
      </c>
      <c r="E23">
        <v>0.53280000000000005</v>
      </c>
      <c r="F23">
        <v>1.4171</v>
      </c>
      <c r="G23">
        <v>1.5934999999999999</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1.3829</v>
      </c>
      <c r="C24">
        <v>0.26329999999999998</v>
      </c>
      <c r="D24">
        <v>5.9020999999999999</v>
      </c>
      <c r="E24">
        <v>0.58679999999999999</v>
      </c>
      <c r="F24">
        <v>1.4517</v>
      </c>
      <c r="G24">
        <v>1.4885999999999999</v>
      </c>
      <c r="K24" s="17"/>
      <c r="L24" s="17"/>
      <c r="M24" s="17"/>
      <c r="N24" s="18"/>
      <c r="O24" s="18"/>
      <c r="P24" s="17"/>
      <c r="R24" s="11"/>
      <c r="U24" s="13"/>
      <c r="V24" s="23"/>
      <c r="Y24" s="11"/>
      <c r="AM24" s="12"/>
      <c r="AV24" s="12"/>
      <c r="BE24" s="12"/>
      <c r="BN24" s="12"/>
      <c r="BW24" s="12"/>
      <c r="CF24" s="12"/>
    </row>
    <row r="25" spans="1:87">
      <c r="A25" s="581" t="s">
        <v>1543</v>
      </c>
      <c r="B25">
        <v>1</v>
      </c>
      <c r="C25">
        <v>0</v>
      </c>
      <c r="D25">
        <v>0</v>
      </c>
      <c r="E25">
        <v>0</v>
      </c>
      <c r="F25">
        <v>0</v>
      </c>
      <c r="G25">
        <v>0</v>
      </c>
      <c r="K25" s="17"/>
      <c r="L25" s="17"/>
      <c r="M25" s="17"/>
      <c r="N25" s="18"/>
      <c r="O25" s="17"/>
      <c r="P25" s="17"/>
      <c r="U25" s="13"/>
      <c r="V25" s="23"/>
      <c r="Y25" s="11"/>
      <c r="AM25" s="12"/>
      <c r="AV25" s="12"/>
      <c r="BE25" s="12"/>
      <c r="BN25" s="12"/>
      <c r="BW25" s="12"/>
      <c r="CF25" s="12"/>
    </row>
    <row r="26" spans="1:87">
      <c r="A26" s="581" t="s">
        <v>1544</v>
      </c>
      <c r="B26">
        <v>1.6798</v>
      </c>
      <c r="C26">
        <v>0.25469999999999998</v>
      </c>
      <c r="D26">
        <v>3.6781000000000001</v>
      </c>
      <c r="E26">
        <v>0.69179999999999997</v>
      </c>
      <c r="F26">
        <v>1.9440999999999999</v>
      </c>
      <c r="G26">
        <v>2.8382000000000001</v>
      </c>
      <c r="Y26" s="11"/>
      <c r="AM26" s="12"/>
      <c r="AV26" s="12"/>
      <c r="BE26" s="12"/>
      <c r="BN26" s="12"/>
      <c r="BW26" s="12"/>
      <c r="CF26" s="12"/>
    </row>
    <row r="27" spans="1:87">
      <c r="A27" s="581" t="s">
        <v>1545</v>
      </c>
      <c r="B27">
        <v>1.2710999999999999</v>
      </c>
      <c r="C27">
        <v>0.14299999999999999</v>
      </c>
      <c r="D27">
        <v>2.915</v>
      </c>
      <c r="E27">
        <v>0.52629999999999999</v>
      </c>
      <c r="F27">
        <v>1.5988</v>
      </c>
      <c r="G27">
        <v>1.6628000000000001</v>
      </c>
      <c r="M27" s="12"/>
      <c r="Y27" s="11"/>
      <c r="AM27" s="12"/>
      <c r="AV27" s="12"/>
    </row>
    <row r="28" spans="1:87">
      <c r="A28" s="581" t="s">
        <v>1546</v>
      </c>
      <c r="B28">
        <v>1.3423</v>
      </c>
      <c r="C28">
        <v>0.30020000000000002</v>
      </c>
      <c r="D28">
        <v>4.9809999999999999</v>
      </c>
      <c r="E28">
        <v>0.85770000000000002</v>
      </c>
      <c r="F28">
        <v>1.3250999999999999</v>
      </c>
      <c r="G28">
        <v>1.5780000000000001</v>
      </c>
      <c r="M28" s="13"/>
      <c r="N28" s="12"/>
      <c r="O28" s="14"/>
      <c r="Q28" s="12"/>
      <c r="Y28" s="11"/>
      <c r="AM28" s="12"/>
      <c r="AV28" s="12"/>
      <c r="BE28" s="12"/>
      <c r="BN28" s="12"/>
      <c r="BW28" s="12"/>
      <c r="CF28" s="12"/>
    </row>
    <row r="29" spans="1:87">
      <c r="A29" s="581" t="s">
        <v>1547</v>
      </c>
      <c r="B29">
        <v>1.3560000000000001</v>
      </c>
      <c r="C29">
        <v>0.3135</v>
      </c>
      <c r="D29">
        <v>10.4885</v>
      </c>
      <c r="E29">
        <v>0.87749999999999995</v>
      </c>
      <c r="F29">
        <v>1.3082</v>
      </c>
      <c r="G29">
        <v>1.2258</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v>
      </c>
      <c r="C30">
        <v>0</v>
      </c>
      <c r="D30">
        <v>0</v>
      </c>
      <c r="E30">
        <v>0</v>
      </c>
      <c r="F30">
        <v>0</v>
      </c>
      <c r="G30">
        <v>0</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1.4075</v>
      </c>
      <c r="C31">
        <v>0.25209999999999999</v>
      </c>
      <c r="D31">
        <v>4.1490999999999998</v>
      </c>
      <c r="E31">
        <v>0.66949999999999998</v>
      </c>
      <c r="F31">
        <v>1.5605</v>
      </c>
      <c r="G31">
        <v>1.9523999999999999</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v>
      </c>
      <c r="C32">
        <v>0</v>
      </c>
      <c r="D32">
        <v>0</v>
      </c>
      <c r="E32">
        <v>0</v>
      </c>
      <c r="F32">
        <v>0</v>
      </c>
      <c r="G32">
        <v>0</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1.4240999999999999</v>
      </c>
      <c r="C33">
        <v>0.33429999999999999</v>
      </c>
      <c r="D33">
        <v>7.6460999999999997</v>
      </c>
      <c r="E33">
        <v>0.71779999999999999</v>
      </c>
      <c r="F33">
        <v>1.3966000000000001</v>
      </c>
      <c r="G33">
        <v>1.4625999999999999</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1.3522000000000001</v>
      </c>
      <c r="C34">
        <v>0.44379999999999997</v>
      </c>
      <c r="D34">
        <v>13.4284</v>
      </c>
      <c r="E34">
        <v>0.9163</v>
      </c>
      <c r="F34">
        <v>1.2075</v>
      </c>
      <c r="G34">
        <v>1.177</v>
      </c>
      <c r="K34" s="17"/>
      <c r="L34" s="17"/>
      <c r="M34" s="17"/>
      <c r="N34" s="17"/>
      <c r="O34" s="17"/>
      <c r="P34" s="17"/>
      <c r="Y34" s="11"/>
      <c r="AM34" s="12"/>
      <c r="AV34" s="12"/>
      <c r="BE34" s="12"/>
      <c r="BN34" s="12"/>
      <c r="BW34" s="12"/>
      <c r="CF34" s="12"/>
    </row>
    <row r="35" spans="1:87">
      <c r="A35" s="581" t="s">
        <v>1553</v>
      </c>
      <c r="B35">
        <v>1</v>
      </c>
      <c r="C35">
        <v>0</v>
      </c>
      <c r="D35">
        <v>0</v>
      </c>
      <c r="E35">
        <v>0</v>
      </c>
      <c r="F35">
        <v>0</v>
      </c>
      <c r="G35">
        <v>0</v>
      </c>
      <c r="K35" s="17"/>
      <c r="L35" s="17"/>
      <c r="M35" s="17"/>
      <c r="N35" s="18"/>
      <c r="O35" s="18"/>
      <c r="P35" s="17"/>
      <c r="Y35" s="11"/>
      <c r="AM35" s="12"/>
      <c r="AP35" s="12"/>
      <c r="AV35" s="12"/>
      <c r="AY35" s="12"/>
      <c r="BE35" s="12"/>
      <c r="BH35" s="12"/>
      <c r="BN35" s="12"/>
      <c r="BQ35" s="12"/>
      <c r="BW35" s="12"/>
      <c r="BZ35" s="12"/>
      <c r="CF35" s="12"/>
      <c r="CI35" s="12"/>
    </row>
    <row r="36" spans="1:87">
      <c r="A36" s="581" t="s">
        <v>1554</v>
      </c>
      <c r="B36">
        <v>1.3033999999999999</v>
      </c>
      <c r="C36">
        <v>0.32350000000000001</v>
      </c>
      <c r="D36">
        <v>7.0355999999999996</v>
      </c>
      <c r="E36">
        <v>0.87880000000000003</v>
      </c>
      <c r="F36">
        <v>1.2598</v>
      </c>
      <c r="G36">
        <v>1.3371999999999999</v>
      </c>
      <c r="K36" s="17"/>
      <c r="L36" s="17"/>
      <c r="M36" s="17"/>
      <c r="N36" s="18"/>
      <c r="O36" s="18"/>
      <c r="P36" s="17"/>
      <c r="Y36" s="11"/>
      <c r="AM36" s="12"/>
      <c r="AV36" s="12"/>
      <c r="BE36" s="12"/>
      <c r="BN36" s="12"/>
      <c r="BW36" s="12"/>
      <c r="CF36" s="12"/>
    </row>
    <row r="37" spans="1:87">
      <c r="A37" s="581" t="s">
        <v>1555</v>
      </c>
      <c r="B37">
        <v>1.3369</v>
      </c>
      <c r="C37">
        <v>0.29799999999999999</v>
      </c>
      <c r="D37">
        <v>7.4871999999999996</v>
      </c>
      <c r="E37">
        <v>0.94110000000000005</v>
      </c>
      <c r="F37">
        <v>1.3129999999999999</v>
      </c>
      <c r="G37">
        <v>1.3333999999999999</v>
      </c>
      <c r="K37" s="17"/>
      <c r="L37" s="17"/>
      <c r="M37" s="17"/>
      <c r="N37" s="17"/>
      <c r="O37" s="17"/>
      <c r="P37" s="17"/>
      <c r="Y37" s="11"/>
    </row>
    <row r="38" spans="1:87">
      <c r="A38" s="581" t="s">
        <v>1556</v>
      </c>
      <c r="B38">
        <v>1.3656999999999999</v>
      </c>
      <c r="C38">
        <v>0.39839999999999998</v>
      </c>
      <c r="D38">
        <v>7.2980999999999998</v>
      </c>
      <c r="E38">
        <v>0.69320000000000004</v>
      </c>
      <c r="F38">
        <v>1.2397</v>
      </c>
      <c r="G38">
        <v>1.3776999999999999</v>
      </c>
      <c r="Y38" s="11"/>
    </row>
    <row r="39" spans="1:87">
      <c r="A39" s="581" t="s">
        <v>1557</v>
      </c>
      <c r="B39">
        <v>1.2254</v>
      </c>
      <c r="C39">
        <v>0.16819999999999999</v>
      </c>
      <c r="D39">
        <v>4.3330000000000002</v>
      </c>
      <c r="E39">
        <v>0.70960000000000001</v>
      </c>
      <c r="F39">
        <v>1.3841000000000001</v>
      </c>
      <c r="G39">
        <v>1.3784000000000001</v>
      </c>
      <c r="Y39" s="11"/>
    </row>
    <row r="40" spans="1:87">
      <c r="A40" s="581" t="s">
        <v>1558</v>
      </c>
      <c r="B40">
        <v>1.2033</v>
      </c>
      <c r="C40">
        <v>0.18779999999999999</v>
      </c>
      <c r="D40">
        <v>2.5446</v>
      </c>
      <c r="E40">
        <v>0.49349999999999999</v>
      </c>
      <c r="F40">
        <v>1.2954000000000001</v>
      </c>
      <c r="G40">
        <v>1.8663000000000001</v>
      </c>
      <c r="N40" s="12"/>
      <c r="O40" s="14"/>
      <c r="Q40" s="12"/>
      <c r="Y40" s="11"/>
    </row>
    <row r="41" spans="1:87">
      <c r="A41" s="581" t="s">
        <v>1559</v>
      </c>
      <c r="B41">
        <v>1.2891999999999999</v>
      </c>
      <c r="C41">
        <v>0.15210000000000001</v>
      </c>
      <c r="D41">
        <v>2.5323000000000002</v>
      </c>
      <c r="E41">
        <v>0.74180000000000001</v>
      </c>
      <c r="F41">
        <v>1.5183</v>
      </c>
      <c r="G41">
        <v>1.8726</v>
      </c>
      <c r="N41" s="12"/>
      <c r="O41" s="14"/>
      <c r="Q41" s="12"/>
      <c r="Y41" s="11"/>
    </row>
    <row r="42" spans="1:87">
      <c r="A42" s="581" t="s">
        <v>1560</v>
      </c>
      <c r="B42">
        <v>1.3533999999999999</v>
      </c>
      <c r="C42">
        <v>0.2482</v>
      </c>
      <c r="D42">
        <v>4.1326999999999998</v>
      </c>
      <c r="E42">
        <v>0.6925</v>
      </c>
      <c r="F42">
        <v>1.4177</v>
      </c>
      <c r="G42">
        <v>1.8111999999999999</v>
      </c>
      <c r="Y42" s="11"/>
    </row>
    <row r="43" spans="1:87">
      <c r="A43" s="581" t="s">
        <v>1561</v>
      </c>
      <c r="B43">
        <v>1.2822</v>
      </c>
      <c r="C43">
        <v>0.17460000000000001</v>
      </c>
      <c r="D43">
        <v>3.3376000000000001</v>
      </c>
      <c r="E43">
        <v>0.73360000000000003</v>
      </c>
      <c r="F43">
        <v>1.462</v>
      </c>
      <c r="G43">
        <v>1.7184999999999999</v>
      </c>
      <c r="Q43" s="12"/>
      <c r="Y43" s="11"/>
    </row>
    <row r="44" spans="1:87">
      <c r="A44" s="581" t="s">
        <v>1562</v>
      </c>
      <c r="B44">
        <v>1.3163</v>
      </c>
      <c r="C44">
        <v>0.14860000000000001</v>
      </c>
      <c r="D44">
        <v>2.8965000000000001</v>
      </c>
      <c r="E44">
        <v>0.54630000000000001</v>
      </c>
      <c r="F44">
        <v>1.651</v>
      </c>
      <c r="G44">
        <v>1.8853</v>
      </c>
      <c r="Y44" s="11"/>
    </row>
    <row r="45" spans="1:87">
      <c r="A45" s="581" t="s">
        <v>1563</v>
      </c>
      <c r="B45">
        <v>1.3270999999999999</v>
      </c>
      <c r="C45">
        <v>0.31559999999999999</v>
      </c>
      <c r="D45">
        <v>5.2645</v>
      </c>
      <c r="E45">
        <v>0.85109999999999997</v>
      </c>
      <c r="F45">
        <v>1.2965</v>
      </c>
      <c r="G45">
        <v>1.4797</v>
      </c>
      <c r="Q45" s="12"/>
      <c r="Y45" s="11"/>
    </row>
    <row r="46" spans="1:87">
      <c r="A46" s="581" t="s">
        <v>1564</v>
      </c>
      <c r="B46">
        <v>1</v>
      </c>
      <c r="C46">
        <v>0</v>
      </c>
      <c r="D46">
        <v>0</v>
      </c>
      <c r="E46">
        <v>0</v>
      </c>
      <c r="F46">
        <v>0</v>
      </c>
      <c r="G46">
        <v>0</v>
      </c>
      <c r="Q46" s="16"/>
      <c r="Y46" s="11"/>
    </row>
    <row r="47" spans="1:87">
      <c r="A47" s="581" t="s">
        <v>1565</v>
      </c>
      <c r="B47">
        <v>1.19</v>
      </c>
      <c r="C47">
        <v>7.2400000000000006E-2</v>
      </c>
      <c r="D47">
        <v>3.8340999999999998</v>
      </c>
      <c r="E47">
        <v>0.80740000000000001</v>
      </c>
      <c r="F47">
        <v>2.0259999999999998</v>
      </c>
      <c r="G47">
        <v>1.3078000000000001</v>
      </c>
      <c r="Q47" s="16"/>
      <c r="Y47" s="11"/>
    </row>
    <row r="48" spans="1:87">
      <c r="A48" s="581" t="s">
        <v>1566</v>
      </c>
      <c r="B48">
        <v>1.4472</v>
      </c>
      <c r="C48">
        <v>0.31940000000000002</v>
      </c>
      <c r="D48">
        <v>5.4581</v>
      </c>
      <c r="E48">
        <v>1.0058</v>
      </c>
      <c r="F48">
        <v>1.4248000000000001</v>
      </c>
      <c r="G48">
        <v>1.6891</v>
      </c>
      <c r="Y48" s="11"/>
    </row>
    <row r="49" spans="1:25">
      <c r="A49" s="581" t="s">
        <v>1567</v>
      </c>
      <c r="B49">
        <v>1.3673999999999999</v>
      </c>
      <c r="C49">
        <v>0.44500000000000001</v>
      </c>
      <c r="D49">
        <v>7.4341999999999997</v>
      </c>
      <c r="E49">
        <v>0.93930000000000002</v>
      </c>
      <c r="F49">
        <v>1.2129000000000001</v>
      </c>
      <c r="G49">
        <v>1.4040999999999999</v>
      </c>
      <c r="Y49" s="11"/>
    </row>
    <row r="50" spans="1:25">
      <c r="A50" s="581" t="s">
        <v>1568</v>
      </c>
      <c r="B50">
        <v>1.2635000000000001</v>
      </c>
      <c r="C50">
        <v>0.2417</v>
      </c>
      <c r="D50">
        <v>3.1398999999999999</v>
      </c>
      <c r="E50">
        <v>0.80740000000000001</v>
      </c>
      <c r="F50">
        <v>1.3003</v>
      </c>
      <c r="G50">
        <v>1.8214999999999999</v>
      </c>
      <c r="Y50" s="11"/>
    </row>
    <row r="51" spans="1:25">
      <c r="A51" s="581" t="s">
        <v>1569</v>
      </c>
      <c r="B51">
        <v>1.3740000000000001</v>
      </c>
      <c r="C51">
        <v>0.4022</v>
      </c>
      <c r="D51">
        <v>14.2742</v>
      </c>
      <c r="E51">
        <v>0.89800000000000002</v>
      </c>
      <c r="F51">
        <v>1.2496</v>
      </c>
      <c r="G51">
        <v>1.1789000000000001</v>
      </c>
      <c r="Y51" s="11"/>
    </row>
    <row r="52" spans="1:25">
      <c r="A52" s="581" t="s">
        <v>1570</v>
      </c>
      <c r="B52">
        <v>1.51</v>
      </c>
      <c r="C52">
        <v>0.36870000000000003</v>
      </c>
      <c r="D52">
        <v>6.7874999999999996</v>
      </c>
      <c r="E52">
        <v>0.81520000000000004</v>
      </c>
      <c r="F52">
        <v>1.4619</v>
      </c>
      <c r="G52">
        <v>1.6675</v>
      </c>
      <c r="Y52" s="11"/>
    </row>
    <row r="53" spans="1:25">
      <c r="A53" s="581" t="s">
        <v>1571</v>
      </c>
      <c r="B53">
        <v>1.4052</v>
      </c>
      <c r="C53">
        <v>0.44269999999999998</v>
      </c>
      <c r="D53">
        <v>14.3698</v>
      </c>
      <c r="E53">
        <v>0.89870000000000005</v>
      </c>
      <c r="F53">
        <v>1.2298</v>
      </c>
      <c r="G53">
        <v>1.1879</v>
      </c>
      <c r="K53" s="17"/>
      <c r="N53" s="17"/>
      <c r="O53" s="17"/>
      <c r="P53" s="17"/>
      <c r="Y53" s="11"/>
    </row>
    <row r="54" spans="1:25">
      <c r="A54" s="581" t="s">
        <v>1572</v>
      </c>
      <c r="B54">
        <v>1.4577</v>
      </c>
      <c r="C54">
        <v>0.50060000000000004</v>
      </c>
      <c r="D54">
        <v>9.1218000000000004</v>
      </c>
      <c r="E54">
        <v>0.96870000000000001</v>
      </c>
      <c r="F54">
        <v>1.2571000000000001</v>
      </c>
      <c r="G54">
        <v>1.4103000000000001</v>
      </c>
      <c r="K54" s="17"/>
      <c r="N54" s="12"/>
      <c r="O54" s="12"/>
      <c r="Y54" s="11"/>
    </row>
    <row r="55" spans="1:25">
      <c r="A55" s="581" t="s">
        <v>1573</v>
      </c>
      <c r="B55">
        <v>1.4446000000000001</v>
      </c>
      <c r="C55">
        <v>0.35630000000000001</v>
      </c>
      <c r="D55">
        <v>7.0271999999999997</v>
      </c>
      <c r="E55">
        <v>0.8054</v>
      </c>
      <c r="F55">
        <v>1.3322000000000001</v>
      </c>
      <c r="G55">
        <v>1.4836</v>
      </c>
      <c r="K55" s="17"/>
      <c r="N55" s="12"/>
      <c r="O55" s="12"/>
      <c r="Y55" s="11"/>
    </row>
    <row r="56" spans="1:25">
      <c r="A56" s="581" t="s">
        <v>1574</v>
      </c>
      <c r="B56">
        <v>1.4657</v>
      </c>
      <c r="C56">
        <v>0.49109999999999998</v>
      </c>
      <c r="D56">
        <v>15.5017</v>
      </c>
      <c r="E56">
        <v>0.95230000000000004</v>
      </c>
      <c r="F56">
        <v>1.2408999999999999</v>
      </c>
      <c r="G56">
        <v>1.1996</v>
      </c>
      <c r="K56" s="17"/>
      <c r="Y56" s="11"/>
    </row>
    <row r="57" spans="1:25">
      <c r="A57" s="581" t="s">
        <v>1575</v>
      </c>
      <c r="B57">
        <v>1.4663999999999999</v>
      </c>
      <c r="C57">
        <v>0.50149999999999995</v>
      </c>
      <c r="D57">
        <v>20.917400000000001</v>
      </c>
      <c r="E57">
        <v>0.91849999999999998</v>
      </c>
      <c r="F57">
        <v>1.2397</v>
      </c>
      <c r="G57">
        <v>1.1443000000000001</v>
      </c>
      <c r="Y57" s="11"/>
    </row>
    <row r="58" spans="1:25">
      <c r="A58" s="581" t="s">
        <v>1576</v>
      </c>
      <c r="B58">
        <v>1.3885000000000001</v>
      </c>
      <c r="C58">
        <v>0.36030000000000001</v>
      </c>
      <c r="D58">
        <v>12.2997</v>
      </c>
      <c r="E58">
        <v>0.83289999999999997</v>
      </c>
      <c r="F58">
        <v>1.2988999999999999</v>
      </c>
      <c r="G58">
        <v>1.2242</v>
      </c>
      <c r="Y58" s="11"/>
    </row>
    <row r="59" spans="1:25">
      <c r="A59" s="581" t="s">
        <v>1577</v>
      </c>
      <c r="B59">
        <v>1.3628</v>
      </c>
      <c r="C59">
        <v>0.34820000000000001</v>
      </c>
      <c r="D59">
        <v>17.548999999999999</v>
      </c>
      <c r="E59">
        <v>0.86860000000000004</v>
      </c>
      <c r="F59">
        <v>1.2744</v>
      </c>
      <c r="G59">
        <v>1.1234999999999999</v>
      </c>
      <c r="N59" s="12"/>
      <c r="O59" s="14"/>
      <c r="Q59" s="12"/>
      <c r="Y59" s="11"/>
    </row>
    <row r="60" spans="1:25">
      <c r="A60" s="581" t="s">
        <v>1578</v>
      </c>
      <c r="B60">
        <v>1.4366000000000001</v>
      </c>
      <c r="C60">
        <v>0.33150000000000002</v>
      </c>
      <c r="D60">
        <v>9.4748000000000001</v>
      </c>
      <c r="E60">
        <v>0.80179999999999996</v>
      </c>
      <c r="F60">
        <v>1.3878999999999999</v>
      </c>
      <c r="G60">
        <v>1.3301000000000001</v>
      </c>
      <c r="N60" s="12"/>
      <c r="O60" s="14"/>
      <c r="Q60" s="12"/>
      <c r="Y60" s="11"/>
    </row>
    <row r="61" spans="1:25">
      <c r="A61" s="581" t="s">
        <v>1579</v>
      </c>
      <c r="B61">
        <v>1.4693000000000001</v>
      </c>
      <c r="C61">
        <v>0.3715</v>
      </c>
      <c r="D61">
        <v>16.872299999999999</v>
      </c>
      <c r="E61">
        <v>0.80569999999999997</v>
      </c>
      <c r="F61">
        <v>1.3378000000000001</v>
      </c>
      <c r="G61">
        <v>1.1657</v>
      </c>
      <c r="Y61" s="11"/>
    </row>
    <row r="62" spans="1:25">
      <c r="A62" s="581" t="s">
        <v>1580</v>
      </c>
      <c r="B62">
        <v>1.4653</v>
      </c>
      <c r="C62">
        <v>0.39650000000000002</v>
      </c>
      <c r="D62">
        <v>10.1759</v>
      </c>
      <c r="E62">
        <v>0.83250000000000002</v>
      </c>
      <c r="F62">
        <v>1.3265</v>
      </c>
      <c r="G62">
        <v>1.3265</v>
      </c>
      <c r="Q62" s="12"/>
      <c r="Y62" s="11"/>
    </row>
    <row r="63" spans="1:25">
      <c r="A63" s="581" t="s">
        <v>1581</v>
      </c>
      <c r="B63">
        <v>0.7147</v>
      </c>
      <c r="C63">
        <v>0.15459999999999999</v>
      </c>
      <c r="D63">
        <v>4.3772000000000002</v>
      </c>
      <c r="E63">
        <v>0.43930000000000002</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sheetPr codeName="Sheet41">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1.3842000000000001</v>
      </c>
      <c r="C2">
        <v>0.32069999999999999</v>
      </c>
      <c r="D2">
        <v>15.9428</v>
      </c>
      <c r="E2">
        <v>0.63319999999999999</v>
      </c>
      <c r="F2">
        <v>1.1775</v>
      </c>
      <c r="G2">
        <v>1.0892999999999999</v>
      </c>
    </row>
    <row r="3" spans="1:87">
      <c r="A3" s="581" t="s">
        <v>1521</v>
      </c>
      <c r="B3">
        <v>1.5743</v>
      </c>
      <c r="C3">
        <v>0.57469999999999999</v>
      </c>
      <c r="D3">
        <v>27.736000000000001</v>
      </c>
      <c r="E3">
        <v>0.9577</v>
      </c>
      <c r="F3">
        <v>1.1554</v>
      </c>
      <c r="G3">
        <v>1.0824</v>
      </c>
    </row>
    <row r="4" spans="1:87">
      <c r="A4" s="581" t="s">
        <v>1522</v>
      </c>
      <c r="B4">
        <v>1</v>
      </c>
      <c r="C4">
        <v>0</v>
      </c>
      <c r="D4">
        <v>0</v>
      </c>
      <c r="E4">
        <v>0</v>
      </c>
      <c r="F4">
        <v>0</v>
      </c>
      <c r="G4">
        <v>0</v>
      </c>
      <c r="N4" s="17"/>
      <c r="U4" s="21"/>
      <c r="X4" s="21"/>
    </row>
    <row r="5" spans="1:87">
      <c r="A5" s="581" t="s">
        <v>1523</v>
      </c>
      <c r="B5">
        <v>1.3313999999999999</v>
      </c>
      <c r="C5">
        <v>0.14799999999999999</v>
      </c>
      <c r="D5">
        <v>2.8780000000000001</v>
      </c>
      <c r="E5">
        <v>0.76649999999999996</v>
      </c>
      <c r="F5">
        <v>1.3568</v>
      </c>
      <c r="G5">
        <v>1.4612000000000001</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1.5923</v>
      </c>
      <c r="C6">
        <v>0.2155</v>
      </c>
      <c r="D6">
        <v>4.9024999999999999</v>
      </c>
      <c r="E6">
        <v>0.75309999999999999</v>
      </c>
      <c r="F6">
        <v>1.4888999999999999</v>
      </c>
      <c r="G6">
        <v>1.4490000000000001</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1.1009</v>
      </c>
      <c r="C7">
        <v>5.79E-2</v>
      </c>
      <c r="D7">
        <v>0.76029999999999998</v>
      </c>
      <c r="E7">
        <v>0.75419999999999998</v>
      </c>
      <c r="F7">
        <v>1.3098000000000001</v>
      </c>
      <c r="G7">
        <v>1.7750999999999999</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1.4826999999999999</v>
      </c>
      <c r="C8">
        <v>0.21659999999999999</v>
      </c>
      <c r="D8">
        <v>4.4889999999999999</v>
      </c>
      <c r="E8">
        <v>0.80269999999999997</v>
      </c>
      <c r="F8">
        <v>1.4117999999999999</v>
      </c>
      <c r="G8">
        <v>1.5199</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1.47</v>
      </c>
      <c r="C9">
        <v>0.1918</v>
      </c>
      <c r="D9">
        <v>4.9162999999999997</v>
      </c>
      <c r="E9">
        <v>0.61099999999999999</v>
      </c>
      <c r="F9">
        <v>1.4359999999999999</v>
      </c>
      <c r="G9">
        <v>1.3828</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1.4749000000000001</v>
      </c>
      <c r="C10">
        <v>0.128</v>
      </c>
      <c r="D10">
        <v>2.6827000000000001</v>
      </c>
      <c r="E10">
        <v>0.66020000000000001</v>
      </c>
      <c r="F10">
        <v>1.7194</v>
      </c>
      <c r="G10">
        <v>1.7948</v>
      </c>
      <c r="U10" s="13"/>
      <c r="V10" s="23"/>
      <c r="W10" s="26"/>
      <c r="Y10" s="11"/>
      <c r="AM10" s="12"/>
      <c r="AV10" s="12"/>
      <c r="BE10" s="12"/>
      <c r="BN10" s="12"/>
      <c r="BW10" s="12"/>
      <c r="CF10" s="12"/>
    </row>
    <row r="11" spans="1:87">
      <c r="A11" s="581" t="s">
        <v>1529</v>
      </c>
      <c r="B11">
        <v>1.4849000000000001</v>
      </c>
      <c r="C11">
        <v>0.1077</v>
      </c>
      <c r="D11">
        <v>2.4874999999999998</v>
      </c>
      <c r="E11">
        <v>0.44190000000000002</v>
      </c>
      <c r="F11">
        <v>1.9466000000000001</v>
      </c>
      <c r="G11">
        <v>1.8785000000000001</v>
      </c>
      <c r="U11" s="13"/>
      <c r="V11" s="23"/>
      <c r="Y11" s="11"/>
      <c r="AM11" s="12"/>
      <c r="AP11" s="12"/>
      <c r="AV11" s="12"/>
      <c r="AY11" s="12"/>
      <c r="BE11" s="12"/>
      <c r="BH11" s="12"/>
      <c r="BN11" s="12"/>
      <c r="BQ11" s="12"/>
      <c r="BW11" s="12"/>
      <c r="BZ11" s="12"/>
      <c r="CF11" s="12"/>
      <c r="CI11" s="12"/>
    </row>
    <row r="12" spans="1:87">
      <c r="A12" s="581" t="s">
        <v>1530</v>
      </c>
      <c r="B12">
        <v>1.4601999999999999</v>
      </c>
      <c r="C12">
        <v>0.1547</v>
      </c>
      <c r="D12">
        <v>3.0127000000000002</v>
      </c>
      <c r="E12">
        <v>0.68959999999999999</v>
      </c>
      <c r="F12">
        <v>1.5323</v>
      </c>
      <c r="G12">
        <v>1.6891</v>
      </c>
      <c r="N12" s="15"/>
      <c r="U12" s="13"/>
      <c r="V12" s="23"/>
      <c r="Y12" s="11"/>
      <c r="AM12" s="12"/>
      <c r="AV12" s="12"/>
      <c r="BE12" s="12"/>
      <c r="BN12" s="12"/>
      <c r="BW12" s="12"/>
      <c r="CF12" s="12"/>
    </row>
    <row r="13" spans="1:87">
      <c r="A13" s="581" t="s">
        <v>1531</v>
      </c>
      <c r="B13">
        <v>1.4714</v>
      </c>
      <c r="C13">
        <v>0.13750000000000001</v>
      </c>
      <c r="D13">
        <v>2.2871000000000001</v>
      </c>
      <c r="E13">
        <v>0.72009999999999996</v>
      </c>
      <c r="F13">
        <v>1.6519999999999999</v>
      </c>
      <c r="G13">
        <v>2.0278</v>
      </c>
      <c r="N13" s="16"/>
      <c r="U13" s="13"/>
      <c r="V13" s="23"/>
      <c r="Y13" s="11"/>
      <c r="AM13" s="12"/>
      <c r="AV13" s="12"/>
      <c r="BE13" s="12"/>
      <c r="BN13" s="12"/>
      <c r="BW13" s="12"/>
      <c r="CF13" s="12"/>
    </row>
    <row r="14" spans="1:87">
      <c r="A14" s="581" t="s">
        <v>1532</v>
      </c>
      <c r="B14">
        <v>1.3102</v>
      </c>
      <c r="C14">
        <v>0.11799999999999999</v>
      </c>
      <c r="D14">
        <v>1.8353999999999999</v>
      </c>
      <c r="E14">
        <v>0.89070000000000005</v>
      </c>
      <c r="F14">
        <v>1.4519</v>
      </c>
      <c r="G14">
        <v>1.7484</v>
      </c>
      <c r="N14" s="16"/>
      <c r="U14" s="13"/>
      <c r="V14" s="23"/>
      <c r="Y14" s="11"/>
      <c r="AM14" s="12"/>
      <c r="AV14" s="12"/>
      <c r="BE14" s="12"/>
      <c r="BN14" s="12"/>
      <c r="BW14" s="12"/>
      <c r="CF14" s="12"/>
    </row>
    <row r="15" spans="1:87">
      <c r="A15" s="581" t="s">
        <v>1533</v>
      </c>
      <c r="B15">
        <v>1.4737</v>
      </c>
      <c r="C15">
        <v>0.10249999999999999</v>
      </c>
      <c r="D15">
        <v>1.9521999999999999</v>
      </c>
      <c r="E15">
        <v>0.64800000000000002</v>
      </c>
      <c r="F15">
        <v>1.9428000000000001</v>
      </c>
      <c r="G15">
        <v>2.2162000000000002</v>
      </c>
      <c r="N15" s="15"/>
      <c r="U15" s="13"/>
      <c r="V15" s="23"/>
      <c r="Y15" s="11"/>
      <c r="AM15" s="12"/>
      <c r="AV15" s="12"/>
    </row>
    <row r="16" spans="1:87">
      <c r="A16" s="581" t="s">
        <v>1534</v>
      </c>
      <c r="B16">
        <v>1.5639000000000001</v>
      </c>
      <c r="C16">
        <v>0.1004</v>
      </c>
      <c r="D16">
        <v>2.3062999999999998</v>
      </c>
      <c r="E16">
        <v>0.45240000000000002</v>
      </c>
      <c r="F16">
        <v>2.6158000000000001</v>
      </c>
      <c r="G16">
        <v>2.2486999999999999</v>
      </c>
      <c r="U16" s="13"/>
      <c r="V16" s="23"/>
      <c r="Y16" s="11"/>
      <c r="AM16" s="12"/>
      <c r="AV16" s="12"/>
      <c r="BE16" s="12"/>
      <c r="BN16" s="12"/>
      <c r="BW16" s="12"/>
      <c r="CF16" s="12"/>
    </row>
    <row r="17" spans="1:87">
      <c r="A17" s="581" t="s">
        <v>1535</v>
      </c>
      <c r="B17">
        <v>1.4830000000000001</v>
      </c>
      <c r="C17">
        <v>9.2399999999999996E-2</v>
      </c>
      <c r="D17">
        <v>2.1021000000000001</v>
      </c>
      <c r="E17">
        <v>0.58499999999999996</v>
      </c>
      <c r="F17">
        <v>2.4066999999999998</v>
      </c>
      <c r="G17">
        <v>2.0562999999999998</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1.5278</v>
      </c>
      <c r="C18">
        <v>0.1875</v>
      </c>
      <c r="D18">
        <v>3.758</v>
      </c>
      <c r="E18">
        <v>0.79679999999999995</v>
      </c>
      <c r="F18">
        <v>1.4999</v>
      </c>
      <c r="G18">
        <v>1.6272</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1.4370000000000001</v>
      </c>
      <c r="C19">
        <v>0.16120000000000001</v>
      </c>
      <c r="D19">
        <v>2.6863999999999999</v>
      </c>
      <c r="E19">
        <v>0.82789999999999997</v>
      </c>
      <c r="F19">
        <v>1.4776</v>
      </c>
      <c r="G19">
        <v>1.784</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1.4797</v>
      </c>
      <c r="C20">
        <v>0.1128</v>
      </c>
      <c r="D20">
        <v>2.472</v>
      </c>
      <c r="E20">
        <v>0.51219999999999999</v>
      </c>
      <c r="F20">
        <v>1.8405</v>
      </c>
      <c r="G20">
        <v>1.8076000000000001</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1.4291</v>
      </c>
      <c r="C21">
        <v>0.1366</v>
      </c>
      <c r="D21">
        <v>3.2877999999999998</v>
      </c>
      <c r="E21">
        <v>0.55089999999999995</v>
      </c>
      <c r="F21">
        <v>1.5661</v>
      </c>
      <c r="G21">
        <v>1.5239</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1.5511999999999999</v>
      </c>
      <c r="C22">
        <v>0.4002</v>
      </c>
      <c r="D22">
        <v>11.028499999999999</v>
      </c>
      <c r="E22">
        <v>0.97870000000000001</v>
      </c>
      <c r="F22">
        <v>1.2302</v>
      </c>
      <c r="G22">
        <v>1.2182999999999999</v>
      </c>
      <c r="L22" s="17"/>
      <c r="M22" s="17"/>
      <c r="N22" s="17"/>
      <c r="O22" s="17"/>
      <c r="P22" s="17"/>
      <c r="U22" s="13"/>
      <c r="V22" s="23"/>
      <c r="Y22" s="11"/>
      <c r="AM22" s="12"/>
      <c r="AV22" s="12"/>
      <c r="BE22" s="12"/>
      <c r="BN22" s="12"/>
      <c r="BW22" s="12"/>
      <c r="CF22" s="12"/>
    </row>
    <row r="23" spans="1:87">
      <c r="A23" s="581" t="s">
        <v>1541</v>
      </c>
      <c r="B23">
        <v>1.3846000000000001</v>
      </c>
      <c r="C23">
        <v>0.1056</v>
      </c>
      <c r="D23">
        <v>1.9505999999999999</v>
      </c>
      <c r="E23">
        <v>0.55620000000000003</v>
      </c>
      <c r="F23">
        <v>1.7156</v>
      </c>
      <c r="G23">
        <v>1.9676</v>
      </c>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1.5714999999999999</v>
      </c>
      <c r="C24">
        <v>0.1368</v>
      </c>
      <c r="D24">
        <v>3.0741000000000001</v>
      </c>
      <c r="E24">
        <v>0.6895</v>
      </c>
      <c r="F24">
        <v>1.9596</v>
      </c>
      <c r="G24">
        <v>2.0141</v>
      </c>
      <c r="L24" s="17"/>
      <c r="M24" s="17"/>
      <c r="N24" s="18"/>
      <c r="O24" s="18"/>
      <c r="P24" s="17"/>
      <c r="R24" s="11"/>
      <c r="U24" s="13"/>
      <c r="V24" s="23"/>
      <c r="Y24" s="11"/>
      <c r="AM24" s="12"/>
      <c r="AV24" s="12"/>
      <c r="BE24" s="12"/>
      <c r="BN24" s="12"/>
      <c r="BW24" s="12"/>
      <c r="CF24" s="12"/>
    </row>
    <row r="25" spans="1:87">
      <c r="A25" s="581" t="s">
        <v>1543</v>
      </c>
      <c r="B25">
        <v>1.1027</v>
      </c>
      <c r="C25">
        <v>6.7799999999999999E-2</v>
      </c>
      <c r="D25">
        <v>0.81610000000000005</v>
      </c>
      <c r="E25">
        <v>0.3266</v>
      </c>
      <c r="F25">
        <v>1.2243999999999999</v>
      </c>
      <c r="G25">
        <v>1.5967</v>
      </c>
      <c r="L25" s="17"/>
      <c r="M25" s="17"/>
      <c r="N25" s="18"/>
      <c r="O25" s="17"/>
      <c r="P25" s="17"/>
      <c r="U25" s="13"/>
      <c r="V25" s="23"/>
      <c r="Y25" s="11"/>
      <c r="AM25" s="12"/>
      <c r="AV25" s="12"/>
      <c r="BE25" s="12"/>
      <c r="BN25" s="12"/>
      <c r="BW25" s="12"/>
      <c r="CF25" s="12"/>
    </row>
    <row r="26" spans="1:87">
      <c r="A26" s="581" t="s">
        <v>1544</v>
      </c>
      <c r="B26">
        <v>1.375</v>
      </c>
      <c r="C26">
        <v>8.5800000000000001E-2</v>
      </c>
      <c r="D26">
        <v>1.2101</v>
      </c>
      <c r="E26">
        <v>0.55940000000000001</v>
      </c>
      <c r="F26">
        <v>1.8286</v>
      </c>
      <c r="G26">
        <v>2.6063999999999998</v>
      </c>
      <c r="Y26" s="11"/>
      <c r="AM26" s="12"/>
      <c r="AV26" s="12"/>
      <c r="BE26" s="12"/>
      <c r="BN26" s="12"/>
      <c r="BW26" s="12"/>
      <c r="CF26" s="12"/>
    </row>
    <row r="27" spans="1:87">
      <c r="A27" s="581" t="s">
        <v>1545</v>
      </c>
      <c r="B27">
        <v>1.524</v>
      </c>
      <c r="C27">
        <v>0.1024</v>
      </c>
      <c r="D27">
        <v>2.0415999999999999</v>
      </c>
      <c r="E27">
        <v>0.64319999999999999</v>
      </c>
      <c r="F27">
        <v>1.9763999999999999</v>
      </c>
      <c r="G27">
        <v>2.0102000000000002</v>
      </c>
      <c r="M27" s="12"/>
      <c r="Y27" s="11"/>
      <c r="AM27" s="12"/>
      <c r="AV27" s="12"/>
    </row>
    <row r="28" spans="1:87">
      <c r="A28" s="581" t="s">
        <v>1546</v>
      </c>
      <c r="B28">
        <v>1.4573</v>
      </c>
      <c r="C28">
        <v>0.17349999999999999</v>
      </c>
      <c r="D28">
        <v>3.0324</v>
      </c>
      <c r="E28">
        <v>0.92989999999999995</v>
      </c>
      <c r="F28">
        <v>1.5178</v>
      </c>
      <c r="G28">
        <v>1.9036</v>
      </c>
      <c r="M28" s="13"/>
      <c r="N28" s="12"/>
      <c r="O28" s="14"/>
      <c r="Q28" s="12"/>
      <c r="Y28" s="11"/>
      <c r="AM28" s="12"/>
      <c r="AV28" s="12"/>
      <c r="BE28" s="12"/>
      <c r="BN28" s="12"/>
      <c r="BW28" s="12"/>
      <c r="CF28" s="12"/>
    </row>
    <row r="29" spans="1:87">
      <c r="A29" s="581" t="s">
        <v>1547</v>
      </c>
      <c r="B29">
        <v>1.4974000000000001</v>
      </c>
      <c r="C29">
        <v>0.2359</v>
      </c>
      <c r="D29">
        <v>7.8723999999999998</v>
      </c>
      <c r="E29">
        <v>0.9667</v>
      </c>
      <c r="F29">
        <v>1.3528</v>
      </c>
      <c r="G29">
        <v>1.2643</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1.3756999999999999</v>
      </c>
      <c r="C30">
        <v>0.1215</v>
      </c>
      <c r="D30">
        <v>2.4775</v>
      </c>
      <c r="E30">
        <v>0.65800000000000003</v>
      </c>
      <c r="F30">
        <v>1.7616000000000001</v>
      </c>
      <c r="G30">
        <v>2.2010999999999998</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1.5244</v>
      </c>
      <c r="C31">
        <v>0.1358</v>
      </c>
      <c r="D31">
        <v>2.3809</v>
      </c>
      <c r="E31">
        <v>0.72919999999999996</v>
      </c>
      <c r="F31">
        <v>1.9791000000000001</v>
      </c>
      <c r="G31">
        <v>2.6385999999999998</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1.3645</v>
      </c>
      <c r="C32">
        <v>0.10489999999999999</v>
      </c>
      <c r="D32">
        <v>1.8179000000000001</v>
      </c>
      <c r="E32">
        <v>0.62990000000000002</v>
      </c>
      <c r="F32">
        <v>1.8946000000000001</v>
      </c>
      <c r="G32">
        <v>2.8239000000000001</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1.4983</v>
      </c>
      <c r="C33">
        <v>0.1565</v>
      </c>
      <c r="D33">
        <v>3.6187999999999998</v>
      </c>
      <c r="E33">
        <v>0.76359999999999995</v>
      </c>
      <c r="F33">
        <v>1.7038</v>
      </c>
      <c r="G33">
        <v>1.8043</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1.3580000000000001</v>
      </c>
      <c r="C34">
        <v>0.28089999999999998</v>
      </c>
      <c r="D34">
        <v>8.4885000000000002</v>
      </c>
      <c r="E34">
        <v>0.91820000000000002</v>
      </c>
      <c r="F34">
        <v>1.2014</v>
      </c>
      <c r="G34">
        <v>1.1695</v>
      </c>
      <c r="L34" s="17"/>
      <c r="M34" s="17"/>
      <c r="N34" s="17"/>
      <c r="O34" s="17"/>
      <c r="P34" s="17"/>
      <c r="Y34" s="11"/>
      <c r="AM34" s="12"/>
      <c r="AV34" s="12"/>
      <c r="BE34" s="12"/>
      <c r="BN34" s="12"/>
      <c r="BW34" s="12"/>
      <c r="CF34" s="12"/>
    </row>
    <row r="35" spans="1:87">
      <c r="A35" s="581" t="s">
        <v>1553</v>
      </c>
      <c r="B35">
        <v>1.669</v>
      </c>
      <c r="C35">
        <v>0.53110000000000002</v>
      </c>
      <c r="D35">
        <v>7.4617000000000004</v>
      </c>
      <c r="E35">
        <v>1.0198</v>
      </c>
      <c r="F35">
        <v>1.2067000000000001</v>
      </c>
      <c r="G35">
        <v>1.4821</v>
      </c>
      <c r="L35" s="17"/>
      <c r="M35" s="17"/>
      <c r="N35" s="18"/>
      <c r="O35" s="18"/>
      <c r="P35" s="17"/>
      <c r="Y35" s="11"/>
      <c r="AM35" s="12"/>
      <c r="AP35" s="12"/>
      <c r="AV35" s="12"/>
      <c r="AY35" s="12"/>
      <c r="BE35" s="12"/>
      <c r="BH35" s="12"/>
      <c r="BN35" s="12"/>
      <c r="BQ35" s="12"/>
      <c r="BW35" s="12"/>
      <c r="BZ35" s="12"/>
      <c r="CF35" s="12"/>
      <c r="CI35" s="12"/>
    </row>
    <row r="36" spans="1:87">
      <c r="A36" s="581" t="s">
        <v>1554</v>
      </c>
      <c r="B36">
        <v>1.4286000000000001</v>
      </c>
      <c r="C36">
        <v>0.2334</v>
      </c>
      <c r="D36">
        <v>5.1036000000000001</v>
      </c>
      <c r="E36">
        <v>0.9556</v>
      </c>
      <c r="F36">
        <v>1.34</v>
      </c>
      <c r="G36">
        <v>1.4297</v>
      </c>
      <c r="L36" s="17"/>
      <c r="M36" s="17"/>
      <c r="N36" s="18"/>
      <c r="O36" s="18"/>
      <c r="P36" s="17"/>
      <c r="Y36" s="11"/>
      <c r="AM36" s="12"/>
      <c r="AV36" s="12"/>
      <c r="BE36" s="12"/>
      <c r="BN36" s="12"/>
      <c r="BW36" s="12"/>
      <c r="CF36" s="12"/>
    </row>
    <row r="37" spans="1:87">
      <c r="A37" s="581" t="s">
        <v>1555</v>
      </c>
      <c r="B37">
        <v>1.4185000000000001</v>
      </c>
      <c r="C37">
        <v>0.19</v>
      </c>
      <c r="D37">
        <v>4.8615000000000004</v>
      </c>
      <c r="E37">
        <v>0.99180000000000001</v>
      </c>
      <c r="F37">
        <v>1.3815</v>
      </c>
      <c r="G37">
        <v>1.4288000000000001</v>
      </c>
      <c r="L37" s="17"/>
      <c r="M37" s="17"/>
      <c r="N37" s="17"/>
      <c r="O37" s="17"/>
      <c r="P37" s="17"/>
      <c r="Y37" s="11"/>
    </row>
    <row r="38" spans="1:87">
      <c r="A38" s="581" t="s">
        <v>1556</v>
      </c>
      <c r="B38">
        <v>1.5355000000000001</v>
      </c>
      <c r="C38">
        <v>0.1671</v>
      </c>
      <c r="D38">
        <v>3.2593000000000001</v>
      </c>
      <c r="E38">
        <v>0.78949999999999998</v>
      </c>
      <c r="F38">
        <v>1.6695</v>
      </c>
      <c r="G38">
        <v>1.9761</v>
      </c>
      <c r="Y38" s="11"/>
    </row>
    <row r="39" spans="1:87">
      <c r="A39" s="581" t="s">
        <v>1557</v>
      </c>
      <c r="B39">
        <v>1.5001</v>
      </c>
      <c r="C39">
        <v>0.1822</v>
      </c>
      <c r="D39">
        <v>4.7163000000000004</v>
      </c>
      <c r="E39">
        <v>0.87780000000000002</v>
      </c>
      <c r="F39">
        <v>1.5583</v>
      </c>
      <c r="G39">
        <v>1.5585</v>
      </c>
      <c r="Y39" s="11"/>
    </row>
    <row r="40" spans="1:87">
      <c r="A40" s="581" t="s">
        <v>1558</v>
      </c>
      <c r="B40">
        <v>1.4128000000000001</v>
      </c>
      <c r="C40">
        <v>0.19139999999999999</v>
      </c>
      <c r="D40">
        <v>3.0103</v>
      </c>
      <c r="E40">
        <v>0.61770000000000003</v>
      </c>
      <c r="F40">
        <v>1.4818</v>
      </c>
      <c r="G40">
        <v>2.4780000000000002</v>
      </c>
      <c r="N40" s="12"/>
      <c r="O40" s="14"/>
      <c r="Q40" s="12"/>
      <c r="Y40" s="11"/>
    </row>
    <row r="41" spans="1:87">
      <c r="A41" s="581" t="s">
        <v>1559</v>
      </c>
      <c r="B41">
        <v>1.4193</v>
      </c>
      <c r="C41">
        <v>0.1057</v>
      </c>
      <c r="D41">
        <v>1.89</v>
      </c>
      <c r="E41">
        <v>0.82440000000000002</v>
      </c>
      <c r="F41">
        <v>1.8886000000000001</v>
      </c>
      <c r="G41">
        <v>2.5024000000000002</v>
      </c>
      <c r="N41" s="12"/>
      <c r="O41" s="14"/>
      <c r="Q41" s="12"/>
      <c r="Y41" s="11"/>
    </row>
    <row r="42" spans="1:87">
      <c r="A42" s="581" t="s">
        <v>1560</v>
      </c>
      <c r="B42">
        <v>1.5546</v>
      </c>
      <c r="C42">
        <v>0.13850000000000001</v>
      </c>
      <c r="D42">
        <v>2.6059999999999999</v>
      </c>
      <c r="E42">
        <v>0.8145</v>
      </c>
      <c r="F42">
        <v>2.0163000000000002</v>
      </c>
      <c r="G42">
        <v>2.9114</v>
      </c>
      <c r="Y42" s="11"/>
    </row>
    <row r="43" spans="1:87">
      <c r="A43" s="581" t="s">
        <v>1561</v>
      </c>
      <c r="B43">
        <v>1.6492</v>
      </c>
      <c r="C43">
        <v>0.14630000000000001</v>
      </c>
      <c r="D43">
        <v>2.8845000000000001</v>
      </c>
      <c r="E43">
        <v>0.93600000000000005</v>
      </c>
      <c r="F43">
        <v>2.0385</v>
      </c>
      <c r="G43">
        <v>2.4714999999999998</v>
      </c>
      <c r="Q43" s="12"/>
      <c r="Y43" s="11"/>
    </row>
    <row r="44" spans="1:87">
      <c r="A44" s="581" t="s">
        <v>1562</v>
      </c>
      <c r="B44">
        <v>1.8953</v>
      </c>
      <c r="C44">
        <v>0.21390000000000001</v>
      </c>
      <c r="D44">
        <v>4.3114999999999997</v>
      </c>
      <c r="E44">
        <v>0.87539999999999996</v>
      </c>
      <c r="F44">
        <v>1.9601</v>
      </c>
      <c r="G44">
        <v>2.3147000000000002</v>
      </c>
      <c r="Y44" s="11"/>
    </row>
    <row r="45" spans="1:87">
      <c r="A45" s="581" t="s">
        <v>1563</v>
      </c>
      <c r="B45">
        <v>1.5293000000000001</v>
      </c>
      <c r="C45">
        <v>0.112</v>
      </c>
      <c r="D45">
        <v>1.9528000000000001</v>
      </c>
      <c r="E45">
        <v>0.97540000000000004</v>
      </c>
      <c r="F45">
        <v>1.7997000000000001</v>
      </c>
      <c r="G45">
        <v>2.1465000000000001</v>
      </c>
      <c r="Q45" s="12"/>
      <c r="Y45" s="11"/>
    </row>
    <row r="46" spans="1:87">
      <c r="A46" s="581" t="s">
        <v>1564</v>
      </c>
      <c r="B46">
        <v>1.9724999999999999</v>
      </c>
      <c r="C46">
        <v>0.1643</v>
      </c>
      <c r="D46">
        <v>5.5578000000000003</v>
      </c>
      <c r="E46">
        <v>0.89559999999999995</v>
      </c>
      <c r="F46">
        <v>2.9377</v>
      </c>
      <c r="G46">
        <v>1.6882999999999999</v>
      </c>
      <c r="Q46" s="16"/>
      <c r="Y46" s="11"/>
    </row>
    <row r="47" spans="1:87">
      <c r="A47" s="581" t="s">
        <v>1565</v>
      </c>
      <c r="B47">
        <v>1.44</v>
      </c>
      <c r="C47">
        <v>8.9800000000000005E-2</v>
      </c>
      <c r="D47">
        <v>4.7899000000000003</v>
      </c>
      <c r="E47">
        <v>0.95889999999999997</v>
      </c>
      <c r="F47">
        <v>2.0419999999999998</v>
      </c>
      <c r="G47">
        <v>1.3270999999999999</v>
      </c>
      <c r="Q47" s="16"/>
      <c r="Y47" s="11"/>
    </row>
    <row r="48" spans="1:87">
      <c r="A48" s="581" t="s">
        <v>1566</v>
      </c>
      <c r="B48">
        <v>1.4927999999999999</v>
      </c>
      <c r="C48">
        <v>0.1457</v>
      </c>
      <c r="D48">
        <v>2.6621000000000001</v>
      </c>
      <c r="E48">
        <v>1.0307999999999999</v>
      </c>
      <c r="F48">
        <v>1.6798999999999999</v>
      </c>
      <c r="G48">
        <v>2.129</v>
      </c>
      <c r="Y48" s="11"/>
    </row>
    <row r="49" spans="1:25">
      <c r="A49" s="581" t="s">
        <v>1567</v>
      </c>
      <c r="B49">
        <v>1.4394</v>
      </c>
      <c r="C49">
        <v>0.25390000000000001</v>
      </c>
      <c r="D49">
        <v>4.3886000000000003</v>
      </c>
      <c r="E49">
        <v>0.98440000000000005</v>
      </c>
      <c r="F49">
        <v>1.2896000000000001</v>
      </c>
      <c r="G49">
        <v>1.5444</v>
      </c>
      <c r="Y49" s="11"/>
    </row>
    <row r="50" spans="1:25">
      <c r="A50" s="581" t="s">
        <v>1568</v>
      </c>
      <c r="B50">
        <v>1.4664999999999999</v>
      </c>
      <c r="C50">
        <v>0.1701</v>
      </c>
      <c r="D50">
        <v>2.4573999999999998</v>
      </c>
      <c r="E50">
        <v>0.92620000000000002</v>
      </c>
      <c r="F50">
        <v>1.5508999999999999</v>
      </c>
      <c r="G50">
        <v>2.4156</v>
      </c>
      <c r="Y50" s="11"/>
    </row>
    <row r="51" spans="1:25">
      <c r="A51" s="581" t="s">
        <v>1569</v>
      </c>
      <c r="B51">
        <v>1.5092000000000001</v>
      </c>
      <c r="C51">
        <v>0.26169999999999999</v>
      </c>
      <c r="D51">
        <v>9.0996000000000006</v>
      </c>
      <c r="E51">
        <v>0.98099999999999998</v>
      </c>
      <c r="F51">
        <v>1.3431</v>
      </c>
      <c r="G51">
        <v>1.2416</v>
      </c>
      <c r="Y51" s="11"/>
    </row>
    <row r="52" spans="1:25">
      <c r="A52" s="581" t="s">
        <v>1570</v>
      </c>
      <c r="B52">
        <v>1.7606999999999999</v>
      </c>
      <c r="C52">
        <v>0.36480000000000001</v>
      </c>
      <c r="D52">
        <v>6.7186000000000003</v>
      </c>
      <c r="E52">
        <v>0.96779999999999999</v>
      </c>
      <c r="F52">
        <v>1.4581999999999999</v>
      </c>
      <c r="G52">
        <v>1.6640999999999999</v>
      </c>
      <c r="Y52" s="11"/>
    </row>
    <row r="53" spans="1:25">
      <c r="A53" s="581" t="s">
        <v>1571</v>
      </c>
      <c r="B53">
        <v>1.5858000000000001</v>
      </c>
      <c r="C53">
        <v>0.31840000000000002</v>
      </c>
      <c r="D53">
        <v>10.3872</v>
      </c>
      <c r="E53">
        <v>1.0111000000000001</v>
      </c>
      <c r="F53">
        <v>1.2768999999999999</v>
      </c>
      <c r="G53">
        <v>1.2396</v>
      </c>
      <c r="N53" s="17"/>
      <c r="O53" s="17"/>
      <c r="P53" s="17"/>
      <c r="Y53" s="11"/>
    </row>
    <row r="54" spans="1:25">
      <c r="A54" s="581" t="s">
        <v>1572</v>
      </c>
      <c r="B54">
        <v>1.5922000000000001</v>
      </c>
      <c r="C54">
        <v>0.36470000000000002</v>
      </c>
      <c r="D54">
        <v>6.7218999999999998</v>
      </c>
      <c r="E54">
        <v>1.0504</v>
      </c>
      <c r="F54">
        <v>1.2759</v>
      </c>
      <c r="G54">
        <v>1.4478</v>
      </c>
      <c r="N54" s="12"/>
      <c r="O54" s="12"/>
      <c r="Y54" s="11"/>
    </row>
    <row r="55" spans="1:25">
      <c r="A55" s="581" t="s">
        <v>1573</v>
      </c>
      <c r="B55">
        <v>1.6908000000000001</v>
      </c>
      <c r="C55">
        <v>0.27639999999999998</v>
      </c>
      <c r="D55">
        <v>5.7521000000000004</v>
      </c>
      <c r="E55">
        <v>0.96299999999999997</v>
      </c>
      <c r="F55">
        <v>1.3998999999999999</v>
      </c>
      <c r="G55">
        <v>1.6451</v>
      </c>
      <c r="N55" s="12"/>
      <c r="O55" s="12"/>
      <c r="Y55" s="11"/>
    </row>
    <row r="56" spans="1:25">
      <c r="A56" s="581" t="s">
        <v>1574</v>
      </c>
      <c r="B56">
        <v>1.6459999999999999</v>
      </c>
      <c r="C56">
        <v>0.43719999999999998</v>
      </c>
      <c r="D56">
        <v>13.9306</v>
      </c>
      <c r="E56">
        <v>1.0722</v>
      </c>
      <c r="F56">
        <v>1.226</v>
      </c>
      <c r="G56">
        <v>1.1962999999999999</v>
      </c>
      <c r="Y56" s="11"/>
    </row>
    <row r="57" spans="1:25">
      <c r="A57" s="581" t="s">
        <v>1575</v>
      </c>
      <c r="B57">
        <v>1.6921999999999999</v>
      </c>
      <c r="C57">
        <v>0.42070000000000002</v>
      </c>
      <c r="D57">
        <v>17.4983</v>
      </c>
      <c r="E57">
        <v>1.052</v>
      </c>
      <c r="F57">
        <v>1.2593000000000001</v>
      </c>
      <c r="G57">
        <v>1.1592</v>
      </c>
      <c r="Y57" s="11"/>
    </row>
    <row r="58" spans="1:25">
      <c r="A58" s="581" t="s">
        <v>1576</v>
      </c>
      <c r="B58">
        <v>1.7343999999999999</v>
      </c>
      <c r="C58">
        <v>0.33119999999999999</v>
      </c>
      <c r="D58">
        <v>11.2051</v>
      </c>
      <c r="E58">
        <v>1.0426</v>
      </c>
      <c r="F58">
        <v>1.4651000000000001</v>
      </c>
      <c r="G58">
        <v>1.3685</v>
      </c>
      <c r="Y58" s="11"/>
    </row>
    <row r="59" spans="1:25">
      <c r="A59" s="581" t="s">
        <v>1577</v>
      </c>
      <c r="B59">
        <v>1.5098</v>
      </c>
      <c r="C59">
        <v>0.2515</v>
      </c>
      <c r="D59">
        <v>12.5273</v>
      </c>
      <c r="E59">
        <v>0.96060000000000001</v>
      </c>
      <c r="F59">
        <v>1.3226</v>
      </c>
      <c r="G59">
        <v>1.1526000000000001</v>
      </c>
      <c r="N59" s="12"/>
      <c r="O59" s="14"/>
      <c r="Q59" s="12"/>
      <c r="Y59" s="11"/>
    </row>
    <row r="60" spans="1:25">
      <c r="A60" s="581" t="s">
        <v>1578</v>
      </c>
      <c r="B60">
        <v>1.5652999999999999</v>
      </c>
      <c r="C60">
        <v>0.1832</v>
      </c>
      <c r="D60">
        <v>5.0949</v>
      </c>
      <c r="E60">
        <v>0.88360000000000005</v>
      </c>
      <c r="F60">
        <v>1.6636</v>
      </c>
      <c r="G60">
        <v>1.5516000000000001</v>
      </c>
      <c r="N60" s="12"/>
      <c r="O60" s="14"/>
      <c r="Q60" s="12"/>
      <c r="Y60" s="11"/>
    </row>
    <row r="61" spans="1:25">
      <c r="A61" s="581" t="s">
        <v>1579</v>
      </c>
      <c r="B61">
        <v>1.5347</v>
      </c>
      <c r="C61">
        <v>0.24379999999999999</v>
      </c>
      <c r="D61">
        <v>11.021800000000001</v>
      </c>
      <c r="E61">
        <v>0.85580000000000001</v>
      </c>
      <c r="F61">
        <v>1.3553999999999999</v>
      </c>
      <c r="G61">
        <v>1.1756</v>
      </c>
      <c r="Y61" s="11"/>
    </row>
    <row r="62" spans="1:25">
      <c r="A62" s="581" t="s">
        <v>1580</v>
      </c>
      <c r="B62">
        <v>1.6496</v>
      </c>
      <c r="C62">
        <v>0.27089999999999997</v>
      </c>
      <c r="D62">
        <v>6.9332000000000003</v>
      </c>
      <c r="E62">
        <v>0.94089999999999996</v>
      </c>
      <c r="F62">
        <v>1.4423999999999999</v>
      </c>
      <c r="G62">
        <v>1.4383999999999999</v>
      </c>
      <c r="Q62" s="12"/>
      <c r="Y62" s="11"/>
    </row>
    <row r="63" spans="1:25">
      <c r="A63" s="581" t="s">
        <v>1581</v>
      </c>
      <c r="B63">
        <v>0.91679999999999995</v>
      </c>
      <c r="C63">
        <v>0.1249</v>
      </c>
      <c r="D63">
        <v>3.6514000000000002</v>
      </c>
      <c r="E63">
        <v>0.55989999999999995</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sheetPr codeName="Sheet40">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s="581">
        <v>1.5562</v>
      </c>
      <c r="C2" s="581">
        <v>0.39810000000000001</v>
      </c>
      <c r="D2" s="581">
        <v>17.075500000000002</v>
      </c>
      <c r="E2" s="581">
        <v>0.6956</v>
      </c>
      <c r="F2" s="581">
        <v>1.3488</v>
      </c>
      <c r="G2" s="581">
        <v>1.2141</v>
      </c>
    </row>
    <row r="3" spans="1:87">
      <c r="A3" s="581" t="s">
        <v>1521</v>
      </c>
      <c r="B3" s="581">
        <v>1.623</v>
      </c>
      <c r="C3" s="581">
        <v>0.69310000000000005</v>
      </c>
      <c r="D3" s="581">
        <v>30.526700000000002</v>
      </c>
      <c r="E3" s="581">
        <v>1.0141</v>
      </c>
      <c r="F3" s="581">
        <v>1.1819999999999999</v>
      </c>
      <c r="G3" s="581">
        <v>1.1012999999999999</v>
      </c>
    </row>
    <row r="4" spans="1:87">
      <c r="A4" s="581" t="s">
        <v>1522</v>
      </c>
      <c r="B4" s="581">
        <v>1</v>
      </c>
      <c r="C4" s="581">
        <v>0</v>
      </c>
      <c r="D4" s="581">
        <v>0</v>
      </c>
      <c r="E4" s="581">
        <v>0</v>
      </c>
      <c r="F4" s="581">
        <v>0</v>
      </c>
      <c r="G4" s="581">
        <v>0</v>
      </c>
      <c r="N4" s="17"/>
      <c r="U4" s="21"/>
      <c r="X4" s="21"/>
    </row>
    <row r="5" spans="1:87">
      <c r="A5" s="581" t="s">
        <v>1523</v>
      </c>
      <c r="B5" s="581">
        <v>1.5660000000000001</v>
      </c>
      <c r="C5" s="581">
        <v>0.36499999999999999</v>
      </c>
      <c r="D5" s="581">
        <v>6.2526999999999999</v>
      </c>
      <c r="E5" s="581">
        <v>0.83040000000000003</v>
      </c>
      <c r="F5" s="581">
        <v>1.37</v>
      </c>
      <c r="G5" s="581">
        <v>1.5455000000000001</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s="581">
        <v>1</v>
      </c>
      <c r="C6" s="581">
        <v>0</v>
      </c>
      <c r="D6" s="581">
        <v>0</v>
      </c>
      <c r="E6" s="581">
        <v>0</v>
      </c>
      <c r="F6" s="581">
        <v>0</v>
      </c>
      <c r="G6" s="581">
        <v>0</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s="581">
        <v>1.169</v>
      </c>
      <c r="C7" s="581">
        <v>9.8400000000000001E-2</v>
      </c>
      <c r="D7" s="581">
        <v>1.3250999999999999</v>
      </c>
      <c r="E7" s="581">
        <v>0.66859999999999997</v>
      </c>
      <c r="F7" s="581">
        <v>1.4511000000000001</v>
      </c>
      <c r="G7" s="581">
        <v>2.0952999999999999</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s="581">
        <v>1.6135999999999999</v>
      </c>
      <c r="C8" s="581">
        <v>0.32790000000000002</v>
      </c>
      <c r="D8" s="581">
        <v>6.7272999999999996</v>
      </c>
      <c r="E8" s="581">
        <v>0.83079999999999998</v>
      </c>
      <c r="F8" s="581">
        <v>1.4628000000000001</v>
      </c>
      <c r="G8" s="581">
        <v>1.5720000000000001</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s="581">
        <v>1.4048</v>
      </c>
      <c r="C9" s="581">
        <v>0.15440000000000001</v>
      </c>
      <c r="D9" s="581">
        <v>3.6518000000000002</v>
      </c>
      <c r="E9" s="581">
        <v>0.50549999999999995</v>
      </c>
      <c r="F9" s="581">
        <v>1.7934000000000001</v>
      </c>
      <c r="G9" s="581">
        <v>1.6632</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s="581">
        <v>1.5959000000000001</v>
      </c>
      <c r="C10" s="581">
        <v>0.27810000000000001</v>
      </c>
      <c r="D10" s="581">
        <v>5.5720000000000001</v>
      </c>
      <c r="E10" s="581">
        <v>0.70189999999999997</v>
      </c>
      <c r="F10" s="581">
        <v>1.5864</v>
      </c>
      <c r="G10" s="581">
        <v>1.7022999999999999</v>
      </c>
      <c r="U10" s="13"/>
      <c r="V10" s="23"/>
      <c r="W10" s="26"/>
      <c r="Y10" s="11"/>
      <c r="AM10" s="12"/>
      <c r="AV10" s="12"/>
      <c r="BE10" s="12"/>
      <c r="BN10" s="12"/>
      <c r="BW10" s="12"/>
      <c r="CF10" s="12"/>
    </row>
    <row r="11" spans="1:87">
      <c r="A11" s="581" t="s">
        <v>1529</v>
      </c>
      <c r="B11" s="581">
        <v>1.3068</v>
      </c>
      <c r="C11" s="581">
        <v>9.4700000000000006E-2</v>
      </c>
      <c r="D11" s="581">
        <v>1.7733000000000001</v>
      </c>
      <c r="E11" s="581">
        <v>0.3952</v>
      </c>
      <c r="F11" s="581">
        <v>1.9691000000000001</v>
      </c>
      <c r="G11" s="581">
        <v>2.2467000000000001</v>
      </c>
      <c r="U11" s="13"/>
      <c r="V11" s="23"/>
      <c r="Y11" s="11"/>
      <c r="AM11" s="12"/>
      <c r="AP11" s="12"/>
      <c r="AV11" s="12"/>
      <c r="AY11" s="12"/>
      <c r="BE11" s="12"/>
      <c r="BH11" s="12"/>
      <c r="BN11" s="12"/>
      <c r="BQ11" s="12"/>
      <c r="BW11" s="12"/>
      <c r="BZ11" s="12"/>
      <c r="CF11" s="12"/>
      <c r="CI11" s="12"/>
    </row>
    <row r="12" spans="1:87">
      <c r="A12" s="581" t="s">
        <v>1530</v>
      </c>
      <c r="B12" s="581">
        <v>1.4755</v>
      </c>
      <c r="C12" s="581">
        <v>0.18440000000000001</v>
      </c>
      <c r="D12" s="581">
        <v>3.7496</v>
      </c>
      <c r="E12" s="581">
        <v>0.64100000000000001</v>
      </c>
      <c r="F12" s="581">
        <v>1.6255999999999999</v>
      </c>
      <c r="G12" s="581">
        <v>1.7298</v>
      </c>
      <c r="N12" s="15"/>
      <c r="U12" s="13"/>
      <c r="V12" s="23"/>
      <c r="Y12" s="11"/>
      <c r="AM12" s="12"/>
      <c r="AV12" s="12"/>
      <c r="BE12" s="12"/>
      <c r="BN12" s="12"/>
      <c r="BW12" s="12"/>
      <c r="CF12" s="12"/>
    </row>
    <row r="13" spans="1:87">
      <c r="A13" s="581" t="s">
        <v>1531</v>
      </c>
      <c r="B13" s="581">
        <v>1.417</v>
      </c>
      <c r="C13" s="581">
        <v>0.13270000000000001</v>
      </c>
      <c r="D13" s="581">
        <v>2.4245000000000001</v>
      </c>
      <c r="E13" s="581">
        <v>0.57399999999999995</v>
      </c>
      <c r="F13" s="581">
        <v>1.9292</v>
      </c>
      <c r="G13" s="581">
        <v>2.2368000000000001</v>
      </c>
      <c r="N13" s="16"/>
      <c r="U13" s="13"/>
      <c r="V13" s="23"/>
      <c r="Y13" s="11"/>
      <c r="AM13" s="12"/>
      <c r="AV13" s="12"/>
      <c r="BE13" s="12"/>
      <c r="BN13" s="12"/>
      <c r="BW13" s="12"/>
      <c r="CF13" s="12"/>
    </row>
    <row r="14" spans="1:87">
      <c r="A14" s="581" t="s">
        <v>1532</v>
      </c>
      <c r="B14" s="581">
        <v>1.4241999999999999</v>
      </c>
      <c r="C14" s="581">
        <v>0.20680000000000001</v>
      </c>
      <c r="D14" s="581">
        <v>3.1846999999999999</v>
      </c>
      <c r="E14" s="581">
        <v>0.73540000000000005</v>
      </c>
      <c r="F14" s="581">
        <v>1.5129999999999999</v>
      </c>
      <c r="G14" s="581">
        <v>1.8738999999999999</v>
      </c>
      <c r="N14" s="16"/>
      <c r="U14" s="13"/>
      <c r="V14" s="23"/>
      <c r="Y14" s="11"/>
      <c r="AM14" s="12"/>
      <c r="AV14" s="12"/>
      <c r="BE14" s="12"/>
      <c r="BN14" s="12"/>
      <c r="BW14" s="12"/>
      <c r="CF14" s="12"/>
    </row>
    <row r="15" spans="1:87">
      <c r="A15" s="581" t="s">
        <v>1533</v>
      </c>
      <c r="B15" s="581">
        <v>1.3654999999999999</v>
      </c>
      <c r="C15" s="581">
        <v>0.15040000000000001</v>
      </c>
      <c r="D15" s="581">
        <v>2.8624000000000001</v>
      </c>
      <c r="E15" s="581">
        <v>0.62280000000000002</v>
      </c>
      <c r="F15" s="581">
        <v>1.6041000000000001</v>
      </c>
      <c r="G15" s="581">
        <v>1.7155</v>
      </c>
      <c r="N15" s="15"/>
      <c r="U15" s="13"/>
      <c r="V15" s="23"/>
      <c r="Y15" s="11"/>
      <c r="AM15" s="12"/>
      <c r="AV15" s="12"/>
    </row>
    <row r="16" spans="1:87">
      <c r="A16" s="581" t="s">
        <v>1534</v>
      </c>
      <c r="B16" s="581">
        <v>1.4594</v>
      </c>
      <c r="C16" s="581">
        <v>0.20150000000000001</v>
      </c>
      <c r="D16" s="581">
        <v>3.7315</v>
      </c>
      <c r="E16" s="581">
        <v>0.45679999999999998</v>
      </c>
      <c r="F16" s="581">
        <v>1.5155000000000001</v>
      </c>
      <c r="G16" s="581">
        <v>1.6735</v>
      </c>
      <c r="U16" s="13"/>
      <c r="V16" s="23"/>
      <c r="Y16" s="11"/>
      <c r="AM16" s="12"/>
      <c r="AV16" s="12"/>
      <c r="BE16" s="12"/>
      <c r="BN16" s="12"/>
      <c r="BW16" s="12"/>
      <c r="CF16" s="12"/>
    </row>
    <row r="17" spans="1:87">
      <c r="A17" s="581" t="s">
        <v>1535</v>
      </c>
      <c r="B17" s="581">
        <v>1</v>
      </c>
      <c r="C17" s="581">
        <v>0</v>
      </c>
      <c r="D17" s="581">
        <v>0</v>
      </c>
      <c r="E17" s="581">
        <v>0</v>
      </c>
      <c r="F17" s="581">
        <v>0</v>
      </c>
      <c r="G17" s="581">
        <v>0</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s="581">
        <v>1.4849000000000001</v>
      </c>
      <c r="C18" s="581">
        <v>0.22819999999999999</v>
      </c>
      <c r="D18" s="581">
        <v>5.2803000000000004</v>
      </c>
      <c r="E18" s="581">
        <v>0.67420000000000002</v>
      </c>
      <c r="F18" s="581">
        <v>1.5873999999999999</v>
      </c>
      <c r="G18" s="581">
        <v>1.6095999999999999</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s="581">
        <v>1.4171</v>
      </c>
      <c r="C19" s="581">
        <v>0.20649999999999999</v>
      </c>
      <c r="D19" s="581">
        <v>3.7364000000000002</v>
      </c>
      <c r="E19" s="581">
        <v>0.74650000000000005</v>
      </c>
      <c r="F19" s="581">
        <v>1.4902</v>
      </c>
      <c r="G19" s="581">
        <v>1.7050000000000001</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s="581">
        <v>1.5321</v>
      </c>
      <c r="C20" s="581">
        <v>0.1396</v>
      </c>
      <c r="D20" s="581">
        <v>3.3361000000000001</v>
      </c>
      <c r="E20" s="581">
        <v>0.52200000000000002</v>
      </c>
      <c r="F20" s="581">
        <v>2.6255000000000002</v>
      </c>
      <c r="G20" s="581">
        <v>2.8725000000000001</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s="581">
        <v>1.4517</v>
      </c>
      <c r="C21" s="581">
        <v>0.29349999999999998</v>
      </c>
      <c r="D21" s="581">
        <v>6.9974999999999996</v>
      </c>
      <c r="E21" s="581">
        <v>0.54520000000000002</v>
      </c>
      <c r="F21" s="581">
        <v>1.3511</v>
      </c>
      <c r="G21" s="581">
        <v>1.3465</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s="581">
        <v>1.5525</v>
      </c>
      <c r="C22" s="581">
        <v>0.30399999999999999</v>
      </c>
      <c r="D22" s="581">
        <v>7.8551000000000002</v>
      </c>
      <c r="E22" s="581">
        <v>0.72889999999999999</v>
      </c>
      <c r="F22" s="581">
        <v>1.5013000000000001</v>
      </c>
      <c r="G22" s="581">
        <v>1.4486000000000001</v>
      </c>
      <c r="K22" s="17"/>
      <c r="L22" s="17"/>
      <c r="M22" s="17"/>
      <c r="N22" s="17"/>
      <c r="O22" s="17"/>
      <c r="P22" s="17"/>
      <c r="U22" s="13"/>
      <c r="V22" s="23"/>
      <c r="Y22" s="11"/>
      <c r="AM22" s="12"/>
      <c r="AV22" s="12"/>
      <c r="BE22" s="12"/>
      <c r="BN22" s="12"/>
      <c r="BW22" s="12"/>
      <c r="CF22" s="12"/>
    </row>
    <row r="23" spans="1:87">
      <c r="A23" s="581" t="s">
        <v>1541</v>
      </c>
      <c r="B23" s="581">
        <v>1.3771</v>
      </c>
      <c r="C23" s="581">
        <v>0.1729</v>
      </c>
      <c r="D23" s="581">
        <v>3.1105999999999998</v>
      </c>
      <c r="E23" s="581">
        <v>0.56869999999999998</v>
      </c>
      <c r="F23" s="581">
        <v>1.5709</v>
      </c>
      <c r="G23" s="581">
        <v>1.7957000000000001</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s="581">
        <v>1.5224</v>
      </c>
      <c r="C24" s="581">
        <v>0.24360000000000001</v>
      </c>
      <c r="D24" s="581">
        <v>5.1395</v>
      </c>
      <c r="E24" s="581">
        <v>0.65700000000000003</v>
      </c>
      <c r="F24" s="581">
        <v>1.5884</v>
      </c>
      <c r="G24" s="581">
        <v>1.7048000000000001</v>
      </c>
      <c r="K24" s="17"/>
      <c r="L24" s="17"/>
      <c r="M24" s="17"/>
      <c r="N24" s="18"/>
      <c r="O24" s="18"/>
      <c r="P24" s="17"/>
      <c r="R24" s="11"/>
      <c r="U24" s="13"/>
      <c r="V24" s="23"/>
      <c r="Y24" s="11"/>
      <c r="AM24" s="12"/>
      <c r="AV24" s="12"/>
      <c r="BE24" s="12"/>
      <c r="BN24" s="12"/>
      <c r="BW24" s="12"/>
      <c r="CF24" s="12"/>
    </row>
    <row r="25" spans="1:87">
      <c r="A25" s="581" t="s">
        <v>1543</v>
      </c>
      <c r="B25" s="581">
        <v>1.1499999999999999</v>
      </c>
      <c r="C25" s="581">
        <v>8.8400000000000006E-2</v>
      </c>
      <c r="D25" s="581">
        <v>1.1744000000000001</v>
      </c>
      <c r="E25" s="581">
        <v>0.28079999999999999</v>
      </c>
      <c r="F25" s="581">
        <v>1.3372999999999999</v>
      </c>
      <c r="G25" s="581">
        <v>1.6893</v>
      </c>
      <c r="K25" s="17"/>
      <c r="L25" s="17"/>
      <c r="M25" s="17"/>
      <c r="N25" s="18"/>
      <c r="O25" s="17"/>
      <c r="P25" s="17"/>
      <c r="U25" s="13"/>
      <c r="V25" s="23"/>
      <c r="Y25" s="11"/>
      <c r="AM25" s="12"/>
      <c r="AV25" s="12"/>
      <c r="BE25" s="12"/>
      <c r="BN25" s="12"/>
      <c r="BW25" s="12"/>
      <c r="CF25" s="12"/>
    </row>
    <row r="26" spans="1:87">
      <c r="A26" s="581" t="s">
        <v>1544</v>
      </c>
      <c r="B26" s="581">
        <v>1.5526</v>
      </c>
      <c r="C26" s="581">
        <v>0.14449999999999999</v>
      </c>
      <c r="D26" s="581">
        <v>2.1126999999999998</v>
      </c>
      <c r="E26" s="581">
        <v>0.59379999999999999</v>
      </c>
      <c r="F26" s="581">
        <v>2.1465000000000001</v>
      </c>
      <c r="G26" s="581">
        <v>3.3214000000000001</v>
      </c>
      <c r="Y26" s="11"/>
      <c r="AM26" s="12"/>
      <c r="AV26" s="12"/>
      <c r="BE26" s="12"/>
      <c r="BN26" s="12"/>
      <c r="BW26" s="12"/>
      <c r="CF26" s="12"/>
    </row>
    <row r="27" spans="1:87">
      <c r="A27" s="581" t="s">
        <v>1545</v>
      </c>
      <c r="B27" s="581">
        <v>1.6026</v>
      </c>
      <c r="C27" s="581">
        <v>0.14199999999999999</v>
      </c>
      <c r="D27" s="581">
        <v>2.7785000000000002</v>
      </c>
      <c r="E27" s="581">
        <v>0.59909999999999997</v>
      </c>
      <c r="F27" s="581">
        <v>2.1232000000000002</v>
      </c>
      <c r="G27" s="581">
        <v>2.1044</v>
      </c>
      <c r="M27" s="12"/>
      <c r="Y27" s="11"/>
      <c r="AM27" s="12"/>
      <c r="AV27" s="12"/>
    </row>
    <row r="28" spans="1:87">
      <c r="A28" s="581" t="s">
        <v>1546</v>
      </c>
      <c r="B28" s="581">
        <v>1.4147000000000001</v>
      </c>
      <c r="C28" s="581">
        <v>0.2414</v>
      </c>
      <c r="D28" s="581">
        <v>4.0525000000000002</v>
      </c>
      <c r="E28" s="581">
        <v>0.8891</v>
      </c>
      <c r="F28" s="581">
        <v>1.4691000000000001</v>
      </c>
      <c r="G28" s="581">
        <v>1.8509</v>
      </c>
      <c r="M28" s="13"/>
      <c r="N28" s="12"/>
      <c r="O28" s="14"/>
      <c r="Q28" s="12"/>
      <c r="Y28" s="11"/>
      <c r="AM28" s="12"/>
      <c r="AV28" s="12"/>
      <c r="BE28" s="12"/>
      <c r="BN28" s="12"/>
      <c r="BW28" s="12"/>
      <c r="CF28" s="12"/>
    </row>
    <row r="29" spans="1:87">
      <c r="A29" s="581" t="s">
        <v>1547</v>
      </c>
      <c r="B29" s="581">
        <v>1.3849</v>
      </c>
      <c r="C29" s="581">
        <v>0.26729999999999998</v>
      </c>
      <c r="D29" s="581">
        <v>8.7379999999999995</v>
      </c>
      <c r="E29" s="581">
        <v>0.89770000000000005</v>
      </c>
      <c r="F29" s="581">
        <v>1.3519000000000001</v>
      </c>
      <c r="G29" s="581">
        <v>1.2561</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s="581">
        <v>1.5609999999999999</v>
      </c>
      <c r="C30" s="581">
        <v>0.154</v>
      </c>
      <c r="D30" s="581">
        <v>2.9727999999999999</v>
      </c>
      <c r="E30" s="581">
        <v>0.60840000000000005</v>
      </c>
      <c r="F30" s="581">
        <v>2.0758999999999999</v>
      </c>
      <c r="G30" s="581">
        <v>2.3746999999999998</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s="581">
        <v>1.5965</v>
      </c>
      <c r="C31" s="581">
        <v>0.21160000000000001</v>
      </c>
      <c r="D31" s="581">
        <v>3.6415000000000002</v>
      </c>
      <c r="E31" s="581">
        <v>0.70689999999999997</v>
      </c>
      <c r="F31" s="581">
        <v>1.8149999999999999</v>
      </c>
      <c r="G31" s="581">
        <v>2.3001999999999998</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s="581">
        <v>1.5004</v>
      </c>
      <c r="C32" s="581">
        <v>0.24679999999999999</v>
      </c>
      <c r="D32" s="581">
        <v>3.6413000000000002</v>
      </c>
      <c r="E32" s="581">
        <v>0.62690000000000001</v>
      </c>
      <c r="F32" s="581">
        <v>1.5282</v>
      </c>
      <c r="G32" s="581">
        <v>2.1522000000000001</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s="581">
        <v>1.6144000000000001</v>
      </c>
      <c r="C33" s="581">
        <v>0.23430000000000001</v>
      </c>
      <c r="D33" s="581">
        <v>5.1112000000000002</v>
      </c>
      <c r="E33" s="581">
        <v>0.72819999999999996</v>
      </c>
      <c r="F33" s="581">
        <v>1.7121</v>
      </c>
      <c r="G33" s="581">
        <v>1.8153999999999999</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s="581">
        <v>1.6798999999999999</v>
      </c>
      <c r="C34" s="581">
        <v>0.47920000000000001</v>
      </c>
      <c r="D34" s="581">
        <v>18.008800000000001</v>
      </c>
      <c r="E34" s="581">
        <v>0.87719999999999998</v>
      </c>
      <c r="F34" s="581">
        <v>1.276</v>
      </c>
      <c r="G34" s="581">
        <v>1.1577999999999999</v>
      </c>
      <c r="K34" s="17"/>
      <c r="L34" s="17"/>
      <c r="M34" s="17"/>
      <c r="N34" s="17"/>
      <c r="O34" s="17"/>
      <c r="P34" s="17"/>
      <c r="Y34" s="11"/>
      <c r="AM34" s="12"/>
      <c r="AV34" s="12"/>
      <c r="BE34" s="12"/>
      <c r="BN34" s="12"/>
      <c r="BW34" s="12"/>
      <c r="CF34" s="12"/>
    </row>
    <row r="35" spans="1:87">
      <c r="A35" s="581" t="s">
        <v>1553</v>
      </c>
      <c r="B35" s="581">
        <v>1.4573</v>
      </c>
      <c r="C35" s="581">
        <v>0.24840000000000001</v>
      </c>
      <c r="D35" s="581">
        <v>3.8041999999999998</v>
      </c>
      <c r="E35" s="581">
        <v>0.74099999999999999</v>
      </c>
      <c r="F35" s="581">
        <v>1.5185</v>
      </c>
      <c r="G35" s="581">
        <v>2.133</v>
      </c>
      <c r="K35" s="17"/>
      <c r="L35" s="17"/>
      <c r="M35" s="17"/>
      <c r="N35" s="18"/>
      <c r="O35" s="18"/>
      <c r="P35" s="17"/>
      <c r="Y35" s="11"/>
      <c r="AM35" s="12"/>
      <c r="AP35" s="12"/>
      <c r="AV35" s="12"/>
      <c r="AY35" s="12"/>
      <c r="BE35" s="12"/>
      <c r="BH35" s="12"/>
      <c r="BN35" s="12"/>
      <c r="BQ35" s="12"/>
      <c r="BW35" s="12"/>
      <c r="BZ35" s="12"/>
      <c r="CF35" s="12"/>
      <c r="CI35" s="12"/>
    </row>
    <row r="36" spans="1:87">
      <c r="A36" s="581" t="s">
        <v>1554</v>
      </c>
      <c r="B36" s="581">
        <v>1.4281999999999999</v>
      </c>
      <c r="C36" s="581">
        <v>0.34320000000000001</v>
      </c>
      <c r="D36" s="581">
        <v>7.3951000000000002</v>
      </c>
      <c r="E36" s="581">
        <v>0.91300000000000003</v>
      </c>
      <c r="F36" s="581">
        <v>1.2825</v>
      </c>
      <c r="G36" s="581">
        <v>1.3620000000000001</v>
      </c>
      <c r="K36" s="17"/>
      <c r="L36" s="17"/>
      <c r="M36" s="17"/>
      <c r="N36" s="18"/>
      <c r="O36" s="18"/>
      <c r="P36" s="17"/>
      <c r="Y36" s="11"/>
      <c r="AM36" s="12"/>
      <c r="AV36" s="12"/>
      <c r="BE36" s="12"/>
      <c r="BN36" s="12"/>
      <c r="BW36" s="12"/>
      <c r="CF36" s="12"/>
    </row>
    <row r="37" spans="1:87">
      <c r="A37" s="581" t="s">
        <v>1555</v>
      </c>
      <c r="B37" s="581">
        <v>1.3994</v>
      </c>
      <c r="C37" s="581">
        <v>0.27339999999999998</v>
      </c>
      <c r="D37" s="581">
        <v>6.4854000000000003</v>
      </c>
      <c r="E37" s="581">
        <v>0.93</v>
      </c>
      <c r="F37" s="581">
        <v>1.3601000000000001</v>
      </c>
      <c r="G37" s="581">
        <v>1.4079999999999999</v>
      </c>
      <c r="K37" s="17"/>
      <c r="L37" s="17"/>
      <c r="M37" s="17"/>
      <c r="N37" s="17"/>
      <c r="O37" s="17"/>
      <c r="P37" s="17"/>
      <c r="Y37" s="11"/>
    </row>
    <row r="38" spans="1:87">
      <c r="A38" s="581" t="s">
        <v>1556</v>
      </c>
      <c r="B38" s="581">
        <v>1.6057999999999999</v>
      </c>
      <c r="C38" s="581">
        <v>0.29320000000000002</v>
      </c>
      <c r="D38" s="581">
        <v>5.3246000000000002</v>
      </c>
      <c r="E38" s="581">
        <v>0.7762</v>
      </c>
      <c r="F38" s="581">
        <v>1.6123000000000001</v>
      </c>
      <c r="G38" s="581">
        <v>1.9942</v>
      </c>
      <c r="Y38" s="11"/>
    </row>
    <row r="39" spans="1:87">
      <c r="A39" s="581" t="s">
        <v>1557</v>
      </c>
      <c r="B39" s="581">
        <v>1.2257</v>
      </c>
      <c r="C39" s="581">
        <v>8.8099999999999998E-2</v>
      </c>
      <c r="D39" s="581">
        <v>2.3692000000000002</v>
      </c>
      <c r="E39" s="581">
        <v>0.73219999999999996</v>
      </c>
      <c r="F39" s="581">
        <v>1.8934</v>
      </c>
      <c r="G39" s="581">
        <v>1.7577</v>
      </c>
      <c r="Y39" s="11"/>
    </row>
    <row r="40" spans="1:87">
      <c r="A40" s="581" t="s">
        <v>1558</v>
      </c>
      <c r="B40" s="581">
        <v>1</v>
      </c>
      <c r="C40" s="581">
        <v>0</v>
      </c>
      <c r="D40" s="581">
        <v>0</v>
      </c>
      <c r="E40" s="581">
        <v>0</v>
      </c>
      <c r="F40" s="581">
        <v>0</v>
      </c>
      <c r="G40" s="581">
        <v>0</v>
      </c>
      <c r="N40" s="12"/>
      <c r="O40" s="14"/>
      <c r="Q40" s="12"/>
      <c r="Y40" s="11"/>
    </row>
    <row r="41" spans="1:87">
      <c r="A41" s="581" t="s">
        <v>1559</v>
      </c>
      <c r="B41" s="581">
        <v>1.3321000000000001</v>
      </c>
      <c r="C41" s="581">
        <v>9.5799999999999996E-2</v>
      </c>
      <c r="D41" s="581">
        <v>1.7459</v>
      </c>
      <c r="E41" s="581">
        <v>0.74180000000000001</v>
      </c>
      <c r="F41" s="581">
        <v>2.2604000000000002</v>
      </c>
      <c r="G41" s="581">
        <v>3.2583000000000002</v>
      </c>
      <c r="N41" s="12"/>
      <c r="O41" s="14"/>
      <c r="Q41" s="12"/>
      <c r="Y41" s="11"/>
    </row>
    <row r="42" spans="1:87">
      <c r="A42" s="581" t="s">
        <v>1560</v>
      </c>
      <c r="B42" s="581">
        <v>1.4257</v>
      </c>
      <c r="C42" s="581">
        <v>0.17269999999999999</v>
      </c>
      <c r="D42" s="581">
        <v>3.1187999999999998</v>
      </c>
      <c r="E42" s="581">
        <v>0.72440000000000004</v>
      </c>
      <c r="F42" s="581">
        <v>1.8459000000000001</v>
      </c>
      <c r="G42" s="581">
        <v>2.7785000000000002</v>
      </c>
      <c r="Y42" s="11"/>
    </row>
    <row r="43" spans="1:87">
      <c r="A43" s="581" t="s">
        <v>1561</v>
      </c>
      <c r="B43" s="581">
        <v>1.4616</v>
      </c>
      <c r="C43" s="581">
        <v>0.24030000000000001</v>
      </c>
      <c r="D43" s="581">
        <v>4.5391000000000004</v>
      </c>
      <c r="E43" s="581">
        <v>0.75919999999999999</v>
      </c>
      <c r="F43" s="581">
        <v>1.5940000000000001</v>
      </c>
      <c r="G43" s="581">
        <v>1.9758</v>
      </c>
      <c r="Q43" s="12"/>
      <c r="Y43" s="11"/>
    </row>
    <row r="44" spans="1:87">
      <c r="A44" s="581" t="s">
        <v>1562</v>
      </c>
      <c r="B44" s="581">
        <v>1.5589999999999999</v>
      </c>
      <c r="C44" s="581">
        <v>0.50370000000000004</v>
      </c>
      <c r="D44" s="581">
        <v>8.1088000000000005</v>
      </c>
      <c r="E44" s="581">
        <v>0.8609</v>
      </c>
      <c r="F44" s="581">
        <v>1.2598</v>
      </c>
      <c r="G44" s="581">
        <v>1.4822</v>
      </c>
      <c r="Y44" s="11"/>
    </row>
    <row r="45" spans="1:87">
      <c r="A45" s="581" t="s">
        <v>1563</v>
      </c>
      <c r="B45" s="581">
        <v>1.3691</v>
      </c>
      <c r="C45" s="581">
        <v>0.3206</v>
      </c>
      <c r="D45" s="581">
        <v>5.0400999999999998</v>
      </c>
      <c r="E45" s="581">
        <v>0.89</v>
      </c>
      <c r="F45" s="581">
        <v>1.2994000000000001</v>
      </c>
      <c r="G45" s="581">
        <v>1.5445</v>
      </c>
      <c r="Q45" s="12"/>
      <c r="Y45" s="11"/>
    </row>
    <row r="46" spans="1:87">
      <c r="A46" s="581" t="s">
        <v>1564</v>
      </c>
      <c r="B46" s="581">
        <v>1.2879</v>
      </c>
      <c r="C46" s="581">
        <v>0.21249999999999999</v>
      </c>
      <c r="D46" s="581">
        <v>2.8610000000000002</v>
      </c>
      <c r="E46" s="581">
        <v>0.60840000000000005</v>
      </c>
      <c r="F46" s="581">
        <v>1.3498000000000001</v>
      </c>
      <c r="G46" s="581">
        <v>1.7984</v>
      </c>
      <c r="Q46" s="16"/>
      <c r="Y46" s="11"/>
    </row>
    <row r="47" spans="1:87">
      <c r="A47" s="581" t="s">
        <v>1565</v>
      </c>
      <c r="B47" s="581">
        <v>1.22</v>
      </c>
      <c r="C47" s="581">
        <v>5.5100000000000003E-2</v>
      </c>
      <c r="D47" s="581">
        <v>2.3879999999999999</v>
      </c>
      <c r="E47" s="581">
        <v>0.81640000000000001</v>
      </c>
      <c r="F47" s="581">
        <v>3.2909000000000002</v>
      </c>
      <c r="G47" s="581">
        <v>1.6088</v>
      </c>
      <c r="Q47" s="16"/>
      <c r="Y47" s="11"/>
    </row>
    <row r="48" spans="1:87">
      <c r="A48" s="581" t="s">
        <v>1566</v>
      </c>
      <c r="B48" s="581">
        <v>1.4782</v>
      </c>
      <c r="C48" s="581">
        <v>0.1671</v>
      </c>
      <c r="D48" s="581">
        <v>3.2475999999999998</v>
      </c>
      <c r="E48" s="581">
        <v>0.9274</v>
      </c>
      <c r="F48" s="581">
        <v>2.1238000000000001</v>
      </c>
      <c r="G48" s="581">
        <v>2.7277</v>
      </c>
      <c r="Y48" s="11"/>
    </row>
    <row r="49" spans="1:25">
      <c r="A49" s="581" t="s">
        <v>1567</v>
      </c>
      <c r="B49" s="581">
        <v>1.4543999999999999</v>
      </c>
      <c r="C49" s="581">
        <v>0.3276</v>
      </c>
      <c r="D49" s="581">
        <v>5.6993</v>
      </c>
      <c r="E49" s="581">
        <v>0.94159999999999999</v>
      </c>
      <c r="F49" s="581">
        <v>1.3609</v>
      </c>
      <c r="G49" s="581">
        <v>1.6574</v>
      </c>
      <c r="Y49" s="11"/>
    </row>
    <row r="50" spans="1:25">
      <c r="A50" s="581" t="s">
        <v>1568</v>
      </c>
      <c r="B50" s="581">
        <v>1.4181999999999999</v>
      </c>
      <c r="C50" s="581">
        <v>0.31059999999999999</v>
      </c>
      <c r="D50" s="581">
        <v>3.8182999999999998</v>
      </c>
      <c r="E50" s="581">
        <v>0.89570000000000005</v>
      </c>
      <c r="F50" s="581">
        <v>1.3360000000000001</v>
      </c>
      <c r="G50" s="581">
        <v>1.9838</v>
      </c>
      <c r="Y50" s="11"/>
    </row>
    <row r="51" spans="1:25">
      <c r="A51" s="581" t="s">
        <v>1569</v>
      </c>
      <c r="B51" s="581">
        <v>1.4887999999999999</v>
      </c>
      <c r="C51" s="581">
        <v>0.3876</v>
      </c>
      <c r="D51" s="581">
        <v>13.6593</v>
      </c>
      <c r="E51" s="581">
        <v>0.91169999999999995</v>
      </c>
      <c r="F51" s="581">
        <v>1.2905</v>
      </c>
      <c r="G51" s="581">
        <v>1.2065999999999999</v>
      </c>
      <c r="Y51" s="11"/>
    </row>
    <row r="52" spans="1:25">
      <c r="A52" s="581" t="s">
        <v>1570</v>
      </c>
      <c r="B52" s="581">
        <v>1.6214999999999999</v>
      </c>
      <c r="C52" s="581">
        <v>0.37969999999999998</v>
      </c>
      <c r="D52" s="581">
        <v>7.3311000000000002</v>
      </c>
      <c r="E52" s="581">
        <v>0.86399999999999999</v>
      </c>
      <c r="F52" s="581">
        <v>1.4729000000000001</v>
      </c>
      <c r="G52" s="581">
        <v>1.6603000000000001</v>
      </c>
      <c r="Y52" s="11"/>
    </row>
    <row r="53" spans="1:25">
      <c r="A53" s="581" t="s">
        <v>1571</v>
      </c>
      <c r="B53" s="581">
        <v>1.4876</v>
      </c>
      <c r="C53" s="581">
        <v>0.435</v>
      </c>
      <c r="D53" s="581">
        <v>14.407400000000001</v>
      </c>
      <c r="E53" s="581">
        <v>0.93640000000000001</v>
      </c>
      <c r="F53" s="581">
        <v>1.2513000000000001</v>
      </c>
      <c r="G53" s="581">
        <v>1.1921999999999999</v>
      </c>
      <c r="K53" s="17"/>
      <c r="N53" s="17"/>
      <c r="O53" s="17"/>
      <c r="P53" s="17"/>
      <c r="Y53" s="11"/>
    </row>
    <row r="54" spans="1:25">
      <c r="A54" s="581" t="s">
        <v>1572</v>
      </c>
      <c r="B54" s="581">
        <v>1.5057</v>
      </c>
      <c r="C54" s="581">
        <v>0.40429999999999999</v>
      </c>
      <c r="D54" s="581">
        <v>7.7416</v>
      </c>
      <c r="E54" s="581">
        <v>0.93120000000000003</v>
      </c>
      <c r="F54" s="581">
        <v>1.3136000000000001</v>
      </c>
      <c r="G54" s="581">
        <v>1.4778</v>
      </c>
      <c r="K54" s="17"/>
      <c r="N54" s="12"/>
      <c r="O54" s="12"/>
      <c r="Y54" s="11"/>
    </row>
    <row r="55" spans="1:25">
      <c r="A55" s="581" t="s">
        <v>1573</v>
      </c>
      <c r="B55" s="581">
        <v>1.5056</v>
      </c>
      <c r="C55" s="581">
        <v>0.36680000000000001</v>
      </c>
      <c r="D55" s="581">
        <v>7.3484999999999996</v>
      </c>
      <c r="E55" s="581">
        <v>0.82930000000000004</v>
      </c>
      <c r="F55" s="581">
        <v>1.3233999999999999</v>
      </c>
      <c r="G55" s="581">
        <v>1.4599</v>
      </c>
      <c r="K55" s="17"/>
      <c r="N55" s="12"/>
      <c r="O55" s="12"/>
      <c r="Y55" s="11"/>
    </row>
    <row r="56" spans="1:25">
      <c r="A56" s="581" t="s">
        <v>1574</v>
      </c>
      <c r="B56" s="581">
        <v>1.4701</v>
      </c>
      <c r="C56" s="581">
        <v>0.41660000000000003</v>
      </c>
      <c r="D56" s="581">
        <v>12.526199999999999</v>
      </c>
      <c r="E56" s="581">
        <v>0.94530000000000003</v>
      </c>
      <c r="F56" s="581">
        <v>1.2539</v>
      </c>
      <c r="G56" s="581">
        <v>1.2234</v>
      </c>
      <c r="K56" s="17"/>
      <c r="Y56" s="11"/>
    </row>
    <row r="57" spans="1:25">
      <c r="A57" s="581" t="s">
        <v>1575</v>
      </c>
      <c r="B57" s="581">
        <v>1.4846999999999999</v>
      </c>
      <c r="C57" s="581">
        <v>0.42109999999999997</v>
      </c>
      <c r="D57" s="581">
        <v>17.565899999999999</v>
      </c>
      <c r="E57" s="581">
        <v>0.92200000000000004</v>
      </c>
      <c r="F57" s="581">
        <v>1.2665999999999999</v>
      </c>
      <c r="G57" s="581">
        <v>1.1578999999999999</v>
      </c>
      <c r="Y57" s="11"/>
    </row>
    <row r="58" spans="1:25">
      <c r="A58" s="581" t="s">
        <v>1576</v>
      </c>
      <c r="B58" s="581">
        <v>1.4004000000000001</v>
      </c>
      <c r="C58" s="581">
        <v>0.35220000000000001</v>
      </c>
      <c r="D58" s="581">
        <v>11.9885</v>
      </c>
      <c r="E58" s="581">
        <v>0.84079999999999999</v>
      </c>
      <c r="F58" s="581">
        <v>1.2839</v>
      </c>
      <c r="G58" s="581">
        <v>1.212</v>
      </c>
      <c r="Y58" s="11"/>
    </row>
    <row r="59" spans="1:25">
      <c r="A59" s="581" t="s">
        <v>1577</v>
      </c>
      <c r="B59" s="581">
        <v>1.3322000000000001</v>
      </c>
      <c r="C59" s="581">
        <v>0.19120000000000001</v>
      </c>
      <c r="D59" s="581">
        <v>8.4466999999999999</v>
      </c>
      <c r="E59" s="581">
        <v>0.84350000000000003</v>
      </c>
      <c r="F59" s="581">
        <v>1.4314</v>
      </c>
      <c r="G59" s="581">
        <v>1.2039</v>
      </c>
      <c r="N59" s="12"/>
      <c r="O59" s="14"/>
      <c r="Q59" s="12"/>
      <c r="Y59" s="11"/>
    </row>
    <row r="60" spans="1:25">
      <c r="A60" s="581" t="s">
        <v>1578</v>
      </c>
      <c r="B60" s="581">
        <v>1.4773000000000001</v>
      </c>
      <c r="C60" s="581">
        <v>0.26889999999999997</v>
      </c>
      <c r="D60" s="581">
        <v>7.1534000000000004</v>
      </c>
      <c r="E60" s="581">
        <v>0.82250000000000001</v>
      </c>
      <c r="F60" s="581">
        <v>1.5062</v>
      </c>
      <c r="G60" s="581">
        <v>1.48</v>
      </c>
      <c r="N60" s="12"/>
      <c r="O60" s="14"/>
      <c r="Q60" s="12"/>
      <c r="Y60" s="11"/>
    </row>
    <row r="61" spans="1:25">
      <c r="A61" s="581" t="s">
        <v>1579</v>
      </c>
      <c r="B61" s="581">
        <v>1.4574</v>
      </c>
      <c r="C61" s="581">
        <v>0.312</v>
      </c>
      <c r="D61" s="581">
        <v>14.562799999999999</v>
      </c>
      <c r="E61" s="581">
        <v>0.80010000000000003</v>
      </c>
      <c r="F61" s="581">
        <v>1.3367</v>
      </c>
      <c r="G61" s="581">
        <v>1.1556999999999999</v>
      </c>
      <c r="Y61" s="11"/>
    </row>
    <row r="62" spans="1:25">
      <c r="A62" s="581" t="s">
        <v>1580</v>
      </c>
      <c r="B62" s="581">
        <v>1.5724</v>
      </c>
      <c r="C62" s="581">
        <v>0.42620000000000002</v>
      </c>
      <c r="D62" s="581">
        <v>10.7964</v>
      </c>
      <c r="E62" s="581">
        <v>0.8881</v>
      </c>
      <c r="F62" s="581">
        <v>1.331</v>
      </c>
      <c r="G62" s="581">
        <v>1.3294999999999999</v>
      </c>
      <c r="Q62" s="12"/>
      <c r="Y62" s="11"/>
    </row>
    <row r="63" spans="1:25">
      <c r="A63" s="581" t="s">
        <v>1581</v>
      </c>
      <c r="B63" s="581">
        <v>0.75149999999999995</v>
      </c>
      <c r="C63" s="581">
        <v>0.13789999999999999</v>
      </c>
      <c r="D63" s="581">
        <v>3.9329999999999998</v>
      </c>
      <c r="E63" s="581">
        <v>0.44740000000000002</v>
      </c>
      <c r="F63" s="581">
        <v>0</v>
      </c>
      <c r="G63" s="581">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sheetPr codeName="Sheet39">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v>
      </c>
      <c r="C2">
        <v>0</v>
      </c>
      <c r="D2">
        <v>0</v>
      </c>
      <c r="E2">
        <v>0</v>
      </c>
      <c r="F2">
        <v>0</v>
      </c>
      <c r="G2">
        <v>0</v>
      </c>
    </row>
    <row r="3" spans="1:87">
      <c r="A3" s="581" t="s">
        <v>1521</v>
      </c>
      <c r="B3">
        <v>1.5251999999999999</v>
      </c>
      <c r="C3">
        <v>0.59340000000000004</v>
      </c>
      <c r="D3">
        <v>29.286899999999999</v>
      </c>
      <c r="E3">
        <v>0.92930000000000001</v>
      </c>
      <c r="F3">
        <v>1.1045</v>
      </c>
      <c r="G3">
        <v>1.0581</v>
      </c>
    </row>
    <row r="4" spans="1:87">
      <c r="A4" s="581" t="s">
        <v>1522</v>
      </c>
      <c r="B4">
        <v>1.2797000000000001</v>
      </c>
      <c r="C4">
        <v>0.1802</v>
      </c>
      <c r="D4">
        <v>6.5948000000000002</v>
      </c>
      <c r="E4">
        <v>0.80469999999999997</v>
      </c>
      <c r="F4">
        <v>1.1939</v>
      </c>
      <c r="G4">
        <v>1.1189</v>
      </c>
      <c r="N4" s="17"/>
      <c r="U4" s="21"/>
      <c r="X4" s="21"/>
    </row>
    <row r="5" spans="1:87">
      <c r="A5" s="581" t="s">
        <v>1523</v>
      </c>
      <c r="B5">
        <v>1.2663</v>
      </c>
      <c r="C5">
        <v>0.1108</v>
      </c>
      <c r="D5">
        <v>2.1541999999999999</v>
      </c>
      <c r="E5">
        <v>0.73070000000000002</v>
      </c>
      <c r="F5">
        <v>1.3526</v>
      </c>
      <c r="G5">
        <v>1.4565999999999999</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1.5680000000000001</v>
      </c>
      <c r="C6">
        <v>0.30640000000000001</v>
      </c>
      <c r="D6">
        <v>7.2237</v>
      </c>
      <c r="E6">
        <v>0.75019999999999998</v>
      </c>
      <c r="F6">
        <v>1.2609999999999999</v>
      </c>
      <c r="G6">
        <v>1.2714000000000001</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1.0864</v>
      </c>
      <c r="C7">
        <v>4.2599999999999999E-2</v>
      </c>
      <c r="D7">
        <v>0.5534</v>
      </c>
      <c r="E7">
        <v>0.74439999999999995</v>
      </c>
      <c r="F7">
        <v>1.254</v>
      </c>
      <c r="G7">
        <v>1.6809000000000001</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1.3617999999999999</v>
      </c>
      <c r="C8">
        <v>0.15970000000000001</v>
      </c>
      <c r="D8">
        <v>3.3149000000000002</v>
      </c>
      <c r="E8">
        <v>0.73170000000000002</v>
      </c>
      <c r="F8">
        <v>1.3202</v>
      </c>
      <c r="G8">
        <v>1.4238</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1.5009999999999999</v>
      </c>
      <c r="C9">
        <v>0.1618</v>
      </c>
      <c r="D9">
        <v>4.1102999999999996</v>
      </c>
      <c r="E9">
        <v>0.62990000000000002</v>
      </c>
      <c r="F9">
        <v>1.4596</v>
      </c>
      <c r="G9">
        <v>1.3931</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1.5244</v>
      </c>
      <c r="C10">
        <v>0.21410000000000001</v>
      </c>
      <c r="D10">
        <v>4.4977999999999998</v>
      </c>
      <c r="E10">
        <v>0.69710000000000005</v>
      </c>
      <c r="F10">
        <v>1.3504</v>
      </c>
      <c r="G10">
        <v>1.413</v>
      </c>
      <c r="U10" s="13"/>
      <c r="V10" s="23"/>
      <c r="W10" s="26"/>
      <c r="Y10" s="11"/>
      <c r="AM10" s="12"/>
      <c r="AV10" s="12"/>
      <c r="BE10" s="12"/>
      <c r="BN10" s="12"/>
      <c r="BW10" s="12"/>
      <c r="CF10" s="12"/>
    </row>
    <row r="11" spans="1:87">
      <c r="A11" s="581" t="s">
        <v>1529</v>
      </c>
      <c r="B11">
        <v>1.3848</v>
      </c>
      <c r="C11">
        <v>8.6999999999999994E-2</v>
      </c>
      <c r="D11">
        <v>2.0190999999999999</v>
      </c>
      <c r="E11">
        <v>0.4032</v>
      </c>
      <c r="F11">
        <v>1.6775</v>
      </c>
      <c r="G11">
        <v>1.6268</v>
      </c>
      <c r="U11" s="13"/>
      <c r="V11" s="23"/>
      <c r="Y11" s="11"/>
      <c r="AM11" s="12"/>
      <c r="AP11" s="12"/>
      <c r="AV11" s="12"/>
      <c r="AY11" s="12"/>
      <c r="BE11" s="12"/>
      <c r="BH11" s="12"/>
      <c r="BN11" s="12"/>
      <c r="BQ11" s="12"/>
      <c r="BW11" s="12"/>
      <c r="BZ11" s="12"/>
      <c r="CF11" s="12"/>
      <c r="CI11" s="12"/>
    </row>
    <row r="12" spans="1:87">
      <c r="A12" s="581" t="s">
        <v>1530</v>
      </c>
      <c r="B12">
        <v>1.3949</v>
      </c>
      <c r="C12">
        <v>0.1782</v>
      </c>
      <c r="D12">
        <v>3.4119999999999999</v>
      </c>
      <c r="E12">
        <v>0.66420000000000001</v>
      </c>
      <c r="F12">
        <v>1.2790999999999999</v>
      </c>
      <c r="G12">
        <v>1.3864000000000001</v>
      </c>
      <c r="N12" s="15"/>
      <c r="U12" s="13"/>
      <c r="V12" s="23"/>
      <c r="Y12" s="11"/>
      <c r="AM12" s="12"/>
      <c r="AV12" s="12"/>
      <c r="BE12" s="12"/>
      <c r="BN12" s="12"/>
      <c r="BW12" s="12"/>
      <c r="CF12" s="12"/>
    </row>
    <row r="13" spans="1:87">
      <c r="A13" s="581" t="s">
        <v>1531</v>
      </c>
      <c r="B13">
        <v>1.3443000000000001</v>
      </c>
      <c r="C13">
        <v>0.1195</v>
      </c>
      <c r="D13">
        <v>1.9113</v>
      </c>
      <c r="E13">
        <v>0.65700000000000003</v>
      </c>
      <c r="F13">
        <v>1.3998999999999999</v>
      </c>
      <c r="G13">
        <v>1.6524000000000001</v>
      </c>
      <c r="N13" s="16"/>
      <c r="U13" s="13"/>
      <c r="V13" s="23"/>
      <c r="Y13" s="11"/>
      <c r="AM13" s="12"/>
      <c r="AV13" s="12"/>
      <c r="BE13" s="12"/>
      <c r="BN13" s="12"/>
      <c r="BW13" s="12"/>
      <c r="CF13" s="12"/>
    </row>
    <row r="14" spans="1:87">
      <c r="A14" s="581" t="s">
        <v>1532</v>
      </c>
      <c r="B14">
        <v>1.2551000000000001</v>
      </c>
      <c r="C14">
        <v>0.1172</v>
      </c>
      <c r="D14">
        <v>1.7565999999999999</v>
      </c>
      <c r="E14">
        <v>0.85760000000000003</v>
      </c>
      <c r="F14">
        <v>1.2897000000000001</v>
      </c>
      <c r="G14">
        <v>1.4959</v>
      </c>
      <c r="N14" s="16"/>
      <c r="U14" s="13"/>
      <c r="V14" s="23"/>
      <c r="Y14" s="11"/>
      <c r="AM14" s="12"/>
      <c r="AV14" s="12"/>
      <c r="BE14" s="12"/>
      <c r="BN14" s="12"/>
      <c r="BW14" s="12"/>
      <c r="CF14" s="12"/>
    </row>
    <row r="15" spans="1:87">
      <c r="A15" s="581" t="s">
        <v>1533</v>
      </c>
      <c r="B15">
        <v>1.3704000000000001</v>
      </c>
      <c r="C15">
        <v>0.11849999999999999</v>
      </c>
      <c r="D15">
        <v>2.1648000000000001</v>
      </c>
      <c r="E15">
        <v>0.60270000000000001</v>
      </c>
      <c r="F15">
        <v>1.4438</v>
      </c>
      <c r="G15">
        <v>1.5799000000000001</v>
      </c>
      <c r="N15" s="15"/>
      <c r="U15" s="13"/>
      <c r="V15" s="23"/>
      <c r="Y15" s="11"/>
      <c r="AM15" s="12"/>
      <c r="AV15" s="12"/>
    </row>
    <row r="16" spans="1:87">
      <c r="A16" s="581" t="s">
        <v>1534</v>
      </c>
      <c r="B16">
        <v>1.3916999999999999</v>
      </c>
      <c r="C16">
        <v>0.11990000000000001</v>
      </c>
      <c r="D16">
        <v>2.9618000000000002</v>
      </c>
      <c r="E16">
        <v>0.37990000000000002</v>
      </c>
      <c r="F16">
        <v>1.5023</v>
      </c>
      <c r="G16">
        <v>1.3887</v>
      </c>
      <c r="U16" s="13"/>
      <c r="V16" s="23"/>
      <c r="Y16" s="11"/>
      <c r="AM16" s="12"/>
      <c r="AV16" s="12"/>
      <c r="BE16" s="12"/>
      <c r="BN16" s="12"/>
      <c r="BW16" s="12"/>
      <c r="CF16" s="12"/>
    </row>
    <row r="17" spans="1:87">
      <c r="A17" s="581" t="s">
        <v>1535</v>
      </c>
      <c r="B17">
        <v>1.5286999999999999</v>
      </c>
      <c r="C17">
        <v>0.13420000000000001</v>
      </c>
      <c r="D17">
        <v>3.3883000000000001</v>
      </c>
      <c r="E17">
        <v>0.62460000000000004</v>
      </c>
      <c r="F17">
        <v>1.6813</v>
      </c>
      <c r="G17">
        <v>1.5939000000000001</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1.4080999999999999</v>
      </c>
      <c r="C18">
        <v>0.1489</v>
      </c>
      <c r="D18">
        <v>2.9712999999999998</v>
      </c>
      <c r="E18">
        <v>0.73760000000000003</v>
      </c>
      <c r="F18">
        <v>1.3662000000000001</v>
      </c>
      <c r="G18">
        <v>1.4752000000000001</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1.3486</v>
      </c>
      <c r="C19">
        <v>0.1681</v>
      </c>
      <c r="D19">
        <v>2.6823999999999999</v>
      </c>
      <c r="E19">
        <v>0.77859999999999996</v>
      </c>
      <c r="F19">
        <v>1.2622</v>
      </c>
      <c r="G19">
        <v>1.4590000000000001</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1.4340999999999999</v>
      </c>
      <c r="C20">
        <v>0.1016</v>
      </c>
      <c r="D20">
        <v>2.2442000000000002</v>
      </c>
      <c r="E20">
        <v>0.49080000000000001</v>
      </c>
      <c r="F20">
        <v>1.6860999999999999</v>
      </c>
      <c r="G20">
        <v>1.6697</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1.3644000000000001</v>
      </c>
      <c r="C21">
        <v>0.16830000000000001</v>
      </c>
      <c r="D21">
        <v>4.1444999999999999</v>
      </c>
      <c r="E21">
        <v>0.51949999999999996</v>
      </c>
      <c r="F21">
        <v>1.3031999999999999</v>
      </c>
      <c r="G21">
        <v>1.2976000000000001</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1.5173000000000001</v>
      </c>
      <c r="C22">
        <v>0.22359999999999999</v>
      </c>
      <c r="D22">
        <v>6.1054000000000004</v>
      </c>
      <c r="E22">
        <v>0.94899999999999995</v>
      </c>
      <c r="F22">
        <v>1.3773</v>
      </c>
      <c r="G22">
        <v>1.3517999999999999</v>
      </c>
      <c r="L22" s="17"/>
      <c r="M22" s="17"/>
      <c r="N22" s="17"/>
      <c r="O22" s="17"/>
      <c r="P22" s="17"/>
      <c r="U22" s="13"/>
      <c r="V22" s="23"/>
      <c r="Y22" s="11"/>
      <c r="AM22" s="12"/>
      <c r="AV22" s="12"/>
      <c r="BE22" s="12"/>
      <c r="BN22" s="12"/>
      <c r="BW22" s="12"/>
      <c r="CF22" s="12"/>
    </row>
    <row r="23" spans="1:87">
      <c r="A23" s="581" t="s">
        <v>1541</v>
      </c>
      <c r="B23">
        <v>1.3553999999999999</v>
      </c>
      <c r="C23">
        <v>0.1211</v>
      </c>
      <c r="D23">
        <v>2.1829999999999998</v>
      </c>
      <c r="E23">
        <v>0.54410000000000003</v>
      </c>
      <c r="F23">
        <v>1.4087000000000001</v>
      </c>
      <c r="G23">
        <v>1.5765</v>
      </c>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1.4853000000000001</v>
      </c>
      <c r="C24">
        <v>0.1215</v>
      </c>
      <c r="D24">
        <v>2.7446000000000002</v>
      </c>
      <c r="E24">
        <v>0.64539999999999997</v>
      </c>
      <c r="F24">
        <v>1.6919999999999999</v>
      </c>
      <c r="G24">
        <v>1.7484999999999999</v>
      </c>
      <c r="L24" s="17"/>
      <c r="M24" s="17"/>
      <c r="N24" s="18"/>
      <c r="O24" s="18"/>
      <c r="P24" s="17"/>
      <c r="R24" s="11"/>
      <c r="U24" s="13"/>
      <c r="V24" s="23"/>
      <c r="Y24" s="11"/>
      <c r="AM24" s="12"/>
      <c r="AV24" s="12"/>
      <c r="BE24" s="12"/>
      <c r="BN24" s="12"/>
      <c r="BW24" s="12"/>
      <c r="CF24" s="12"/>
    </row>
    <row r="25" spans="1:87">
      <c r="A25" s="581" t="s">
        <v>1543</v>
      </c>
      <c r="B25">
        <v>1.0927</v>
      </c>
      <c r="C25">
        <v>5.2299999999999999E-2</v>
      </c>
      <c r="D25">
        <v>0.60919999999999996</v>
      </c>
      <c r="E25">
        <v>0.31950000000000001</v>
      </c>
      <c r="F25">
        <v>1.2101999999999999</v>
      </c>
      <c r="G25">
        <v>1.5274000000000001</v>
      </c>
      <c r="L25" s="17"/>
      <c r="M25" s="17"/>
      <c r="N25" s="18"/>
      <c r="O25" s="17"/>
      <c r="P25" s="17"/>
      <c r="U25" s="13"/>
      <c r="V25" s="23"/>
      <c r="Y25" s="11"/>
      <c r="AM25" s="12"/>
      <c r="AV25" s="12"/>
      <c r="BE25" s="12"/>
      <c r="BN25" s="12"/>
      <c r="BW25" s="12"/>
      <c r="CF25" s="12"/>
    </row>
    <row r="26" spans="1:87">
      <c r="A26" s="581" t="s">
        <v>1544</v>
      </c>
      <c r="B26">
        <v>1.4558</v>
      </c>
      <c r="C26">
        <v>9.69E-2</v>
      </c>
      <c r="D26">
        <v>1.3439000000000001</v>
      </c>
      <c r="E26">
        <v>0.60970000000000002</v>
      </c>
      <c r="F26">
        <v>1.7887</v>
      </c>
      <c r="G26">
        <v>2.5083000000000002</v>
      </c>
      <c r="Y26" s="11"/>
      <c r="AM26" s="12"/>
      <c r="AV26" s="12"/>
      <c r="BE26" s="12"/>
      <c r="BN26" s="12"/>
      <c r="BW26" s="12"/>
      <c r="CF26" s="12"/>
    </row>
    <row r="27" spans="1:87">
      <c r="A27" s="581" t="s">
        <v>1545</v>
      </c>
      <c r="B27">
        <v>1.3723000000000001</v>
      </c>
      <c r="C27">
        <v>0.1042</v>
      </c>
      <c r="D27">
        <v>2.1313</v>
      </c>
      <c r="E27">
        <v>0.58379999999999999</v>
      </c>
      <c r="F27">
        <v>1.5138</v>
      </c>
      <c r="G27">
        <v>1.5791999999999999</v>
      </c>
      <c r="M27" s="12"/>
      <c r="Y27" s="11"/>
      <c r="AM27" s="12"/>
      <c r="AV27" s="12"/>
    </row>
    <row r="28" spans="1:87">
      <c r="A28" s="581" t="s">
        <v>1546</v>
      </c>
      <c r="B28">
        <v>1.4128000000000001</v>
      </c>
      <c r="C28">
        <v>0.1452</v>
      </c>
      <c r="D28">
        <v>2.5021</v>
      </c>
      <c r="E28">
        <v>0.90300000000000002</v>
      </c>
      <c r="F28">
        <v>1.4477</v>
      </c>
      <c r="G28">
        <v>1.7898000000000001</v>
      </c>
      <c r="M28" s="13"/>
      <c r="N28" s="12"/>
      <c r="O28" s="14"/>
      <c r="Q28" s="12"/>
      <c r="Y28" s="11"/>
      <c r="AM28" s="12"/>
      <c r="AV28" s="12"/>
      <c r="BE28" s="12"/>
      <c r="BN28" s="12"/>
      <c r="BW28" s="12"/>
      <c r="CF28" s="12"/>
    </row>
    <row r="29" spans="1:87">
      <c r="A29" s="581" t="s">
        <v>1547</v>
      </c>
      <c r="B29">
        <v>1.4455</v>
      </c>
      <c r="C29">
        <v>0.1933</v>
      </c>
      <c r="D29">
        <v>6.524</v>
      </c>
      <c r="E29">
        <v>0.93379999999999996</v>
      </c>
      <c r="F29">
        <v>1.302</v>
      </c>
      <c r="G29">
        <v>1.2303999999999999</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1.3313999999999999</v>
      </c>
      <c r="C30">
        <v>8.5500000000000007E-2</v>
      </c>
      <c r="D30">
        <v>1.8122</v>
      </c>
      <c r="E30">
        <v>0.63429999999999997</v>
      </c>
      <c r="F30">
        <v>1.9202999999999999</v>
      </c>
      <c r="G30">
        <v>2.4935999999999998</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1.4597</v>
      </c>
      <c r="C31">
        <v>7.8600000000000003E-2</v>
      </c>
      <c r="D31">
        <v>1.3980999999999999</v>
      </c>
      <c r="E31">
        <v>0.69159999999999999</v>
      </c>
      <c r="F31">
        <v>2.1617000000000002</v>
      </c>
      <c r="G31">
        <v>2.9228000000000001</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1.3386</v>
      </c>
      <c r="C32">
        <v>8.4099999999999994E-2</v>
      </c>
      <c r="D32">
        <v>1.4683999999999999</v>
      </c>
      <c r="E32">
        <v>0.61519999999999997</v>
      </c>
      <c r="F32">
        <v>1.899</v>
      </c>
      <c r="G32">
        <v>2.8515000000000001</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1.4961</v>
      </c>
      <c r="C33">
        <v>0.16270000000000001</v>
      </c>
      <c r="D33">
        <v>3.7970000000000002</v>
      </c>
      <c r="E33">
        <v>0.76529999999999998</v>
      </c>
      <c r="F33">
        <v>1.5543</v>
      </c>
      <c r="G33">
        <v>1.661</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1.2921</v>
      </c>
      <c r="C34">
        <v>0.2601</v>
      </c>
      <c r="D34">
        <v>7.9635999999999996</v>
      </c>
      <c r="E34">
        <v>0.8821</v>
      </c>
      <c r="F34">
        <v>1.1377999999999999</v>
      </c>
      <c r="G34">
        <v>1.1221000000000001</v>
      </c>
      <c r="L34" s="17"/>
      <c r="M34" s="17"/>
      <c r="N34" s="17"/>
      <c r="O34" s="17"/>
      <c r="P34" s="17"/>
      <c r="Y34" s="11"/>
      <c r="AM34" s="12"/>
      <c r="AV34" s="12"/>
      <c r="BE34" s="12"/>
      <c r="BN34" s="12"/>
      <c r="BW34" s="12"/>
      <c r="CF34" s="12"/>
    </row>
    <row r="35" spans="1:87">
      <c r="A35" s="581" t="s">
        <v>1553</v>
      </c>
      <c r="B35">
        <v>1</v>
      </c>
      <c r="C35">
        <v>0</v>
      </c>
      <c r="D35">
        <v>0</v>
      </c>
      <c r="E35">
        <v>0</v>
      </c>
      <c r="F35">
        <v>0</v>
      </c>
      <c r="G35">
        <v>0</v>
      </c>
      <c r="L35" s="17"/>
      <c r="M35" s="17"/>
      <c r="N35" s="18"/>
      <c r="O35" s="18"/>
      <c r="P35" s="17"/>
      <c r="Y35" s="11"/>
      <c r="AM35" s="12"/>
      <c r="AP35" s="12"/>
      <c r="AV35" s="12"/>
      <c r="AY35" s="12"/>
      <c r="BE35" s="12"/>
      <c r="BH35" s="12"/>
      <c r="BN35" s="12"/>
      <c r="BQ35" s="12"/>
      <c r="BW35" s="12"/>
      <c r="BZ35" s="12"/>
      <c r="CF35" s="12"/>
      <c r="CI35" s="12"/>
    </row>
    <row r="36" spans="1:87">
      <c r="A36" s="581" t="s">
        <v>1554</v>
      </c>
      <c r="B36">
        <v>1.3388</v>
      </c>
      <c r="C36">
        <v>0.19120000000000001</v>
      </c>
      <c r="D36">
        <v>4.1689999999999996</v>
      </c>
      <c r="E36">
        <v>0.90210000000000001</v>
      </c>
      <c r="F36">
        <v>1.2645999999999999</v>
      </c>
      <c r="G36">
        <v>1.3460000000000001</v>
      </c>
      <c r="L36" s="17"/>
      <c r="M36" s="17"/>
      <c r="N36" s="18"/>
      <c r="O36" s="18"/>
      <c r="P36" s="17"/>
      <c r="Y36" s="11"/>
      <c r="AM36" s="12"/>
      <c r="AV36" s="12"/>
      <c r="BE36" s="12"/>
      <c r="BN36" s="12"/>
      <c r="BW36" s="12"/>
      <c r="CF36" s="12"/>
    </row>
    <row r="37" spans="1:87">
      <c r="A37" s="581" t="s">
        <v>1555</v>
      </c>
      <c r="B37">
        <v>1.4621999999999999</v>
      </c>
      <c r="C37">
        <v>0.2878</v>
      </c>
      <c r="D37">
        <v>7.3338999999999999</v>
      </c>
      <c r="E37">
        <v>1.0219</v>
      </c>
      <c r="F37">
        <v>1.2249000000000001</v>
      </c>
      <c r="G37">
        <v>1.2616000000000001</v>
      </c>
      <c r="L37" s="17"/>
      <c r="M37" s="17"/>
      <c r="N37" s="17"/>
      <c r="O37" s="17"/>
      <c r="P37" s="17"/>
      <c r="Y37" s="11"/>
    </row>
    <row r="38" spans="1:87">
      <c r="A38" s="581" t="s">
        <v>1556</v>
      </c>
      <c r="B38">
        <v>1.5395000000000001</v>
      </c>
      <c r="C38">
        <v>0.108</v>
      </c>
      <c r="D38">
        <v>2.1821000000000002</v>
      </c>
      <c r="E38">
        <v>0.78610000000000002</v>
      </c>
      <c r="F38">
        <v>2.0097</v>
      </c>
      <c r="G38">
        <v>2.4638</v>
      </c>
      <c r="Y38" s="11"/>
    </row>
    <row r="39" spans="1:87">
      <c r="A39" s="581" t="s">
        <v>1557</v>
      </c>
      <c r="B39">
        <v>1.5723</v>
      </c>
      <c r="C39">
        <v>0.1431</v>
      </c>
      <c r="D39">
        <v>3.7551000000000001</v>
      </c>
      <c r="E39">
        <v>0.91569999999999996</v>
      </c>
      <c r="F39">
        <v>1.6166</v>
      </c>
      <c r="G39">
        <v>1.6391</v>
      </c>
      <c r="Y39" s="11"/>
    </row>
    <row r="40" spans="1:87">
      <c r="A40" s="581" t="s">
        <v>1558</v>
      </c>
      <c r="B40">
        <v>1.8184</v>
      </c>
      <c r="C40">
        <v>0.1091</v>
      </c>
      <c r="D40">
        <v>2.0112999999999999</v>
      </c>
      <c r="E40">
        <v>0.80810000000000004</v>
      </c>
      <c r="F40">
        <v>2.4813999999999998</v>
      </c>
      <c r="G40">
        <v>4.8654999999999999</v>
      </c>
      <c r="N40" s="12"/>
      <c r="O40" s="14"/>
      <c r="Q40" s="12"/>
      <c r="Y40" s="11"/>
    </row>
    <row r="41" spans="1:87">
      <c r="A41" s="581" t="s">
        <v>1559</v>
      </c>
      <c r="B41">
        <v>1.4016</v>
      </c>
      <c r="C41">
        <v>8.2299999999999998E-2</v>
      </c>
      <c r="D41">
        <v>1.4833000000000001</v>
      </c>
      <c r="E41">
        <v>0.81040000000000001</v>
      </c>
      <c r="F41">
        <v>1.7737000000000001</v>
      </c>
      <c r="G41">
        <v>2.3677000000000001</v>
      </c>
      <c r="N41" s="12"/>
      <c r="O41" s="14"/>
      <c r="Q41" s="12"/>
      <c r="Y41" s="11"/>
    </row>
    <row r="42" spans="1:87">
      <c r="A42" s="581" t="s">
        <v>1560</v>
      </c>
      <c r="B42">
        <v>1.5145999999999999</v>
      </c>
      <c r="C42">
        <v>0.1</v>
      </c>
      <c r="D42">
        <v>1.9693000000000001</v>
      </c>
      <c r="E42">
        <v>0.79020000000000001</v>
      </c>
      <c r="F42">
        <v>2.1492</v>
      </c>
      <c r="G42">
        <v>3.2479</v>
      </c>
      <c r="Y42" s="11"/>
    </row>
    <row r="43" spans="1:87">
      <c r="A43" s="581" t="s">
        <v>1561</v>
      </c>
      <c r="B43">
        <v>1.6435</v>
      </c>
      <c r="C43">
        <v>9.0700000000000003E-2</v>
      </c>
      <c r="D43">
        <v>1.8474999999999999</v>
      </c>
      <c r="E43">
        <v>0.91110000000000002</v>
      </c>
      <c r="F43">
        <v>2.1818</v>
      </c>
      <c r="G43">
        <v>2.7322000000000002</v>
      </c>
      <c r="Q43" s="12"/>
      <c r="Y43" s="11"/>
    </row>
    <row r="44" spans="1:87">
      <c r="A44" s="581" t="s">
        <v>1562</v>
      </c>
      <c r="B44">
        <v>1.8395999999999999</v>
      </c>
      <c r="C44">
        <v>0.11799999999999999</v>
      </c>
      <c r="D44">
        <v>2.5013000000000001</v>
      </c>
      <c r="E44">
        <v>0.83150000000000002</v>
      </c>
      <c r="F44">
        <v>2.3671000000000002</v>
      </c>
      <c r="G44">
        <v>2.9405999999999999</v>
      </c>
      <c r="Y44" s="11"/>
    </row>
    <row r="45" spans="1:87">
      <c r="A45" s="581" t="s">
        <v>1563</v>
      </c>
      <c r="B45">
        <v>1.452</v>
      </c>
      <c r="C45">
        <v>8.5300000000000001E-2</v>
      </c>
      <c r="D45">
        <v>1.5553999999999999</v>
      </c>
      <c r="E45">
        <v>0.93010000000000004</v>
      </c>
      <c r="F45">
        <v>1.6731</v>
      </c>
      <c r="G45">
        <v>2.0870000000000002</v>
      </c>
      <c r="Q45" s="12"/>
      <c r="Y45" s="11"/>
    </row>
    <row r="46" spans="1:87">
      <c r="A46" s="581" t="s">
        <v>1564</v>
      </c>
      <c r="B46">
        <v>2.0427</v>
      </c>
      <c r="C46">
        <v>9.3200000000000005E-2</v>
      </c>
      <c r="D46">
        <v>2.9685999999999999</v>
      </c>
      <c r="E46">
        <v>0.91320000000000001</v>
      </c>
      <c r="F46">
        <v>3.6478999999999999</v>
      </c>
      <c r="G46">
        <v>1.9745999999999999</v>
      </c>
      <c r="Q46" s="16"/>
      <c r="Y46" s="11"/>
    </row>
    <row r="47" spans="1:87">
      <c r="A47" s="581" t="s">
        <v>1565</v>
      </c>
      <c r="B47">
        <v>1.3956</v>
      </c>
      <c r="C47">
        <v>6.3399999999999998E-2</v>
      </c>
      <c r="D47">
        <v>3.6229</v>
      </c>
      <c r="E47">
        <v>0.92859999999999998</v>
      </c>
      <c r="F47">
        <v>1.8282</v>
      </c>
      <c r="G47">
        <v>1.2735000000000001</v>
      </c>
      <c r="Q47" s="16"/>
      <c r="Y47" s="11"/>
    </row>
    <row r="48" spans="1:87">
      <c r="A48" s="581" t="s">
        <v>1566</v>
      </c>
      <c r="B48">
        <v>1.4823</v>
      </c>
      <c r="C48">
        <v>0.13100000000000001</v>
      </c>
      <c r="D48">
        <v>2.3346</v>
      </c>
      <c r="E48">
        <v>1.0262</v>
      </c>
      <c r="F48">
        <v>1.5882000000000001</v>
      </c>
      <c r="G48">
        <v>1.9633</v>
      </c>
      <c r="Y48" s="11"/>
    </row>
    <row r="49" spans="1:25">
      <c r="A49" s="581" t="s">
        <v>1567</v>
      </c>
      <c r="B49">
        <v>1.4024000000000001</v>
      </c>
      <c r="C49">
        <v>0.16689999999999999</v>
      </c>
      <c r="D49">
        <v>2.9636999999999998</v>
      </c>
      <c r="E49">
        <v>0.96040000000000003</v>
      </c>
      <c r="F49">
        <v>1.3341000000000001</v>
      </c>
      <c r="G49">
        <v>1.6415</v>
      </c>
      <c r="Y49" s="11"/>
    </row>
    <row r="50" spans="1:25">
      <c r="A50" s="581" t="s">
        <v>1568</v>
      </c>
      <c r="B50">
        <v>1.4659</v>
      </c>
      <c r="C50">
        <v>0.17910000000000001</v>
      </c>
      <c r="D50">
        <v>2.3311999999999999</v>
      </c>
      <c r="E50">
        <v>0.9204</v>
      </c>
      <c r="F50">
        <v>1.3111999999999999</v>
      </c>
      <c r="G50">
        <v>1.8407</v>
      </c>
      <c r="Y50" s="11"/>
    </row>
    <row r="51" spans="1:25">
      <c r="A51" s="581" t="s">
        <v>1569</v>
      </c>
      <c r="B51">
        <v>1.4316</v>
      </c>
      <c r="C51">
        <v>0.26019999999999999</v>
      </c>
      <c r="D51">
        <v>9.3635999999999999</v>
      </c>
      <c r="E51">
        <v>0.93359999999999999</v>
      </c>
      <c r="F51">
        <v>1.216</v>
      </c>
      <c r="G51">
        <v>1.1631</v>
      </c>
      <c r="Y51" s="11"/>
    </row>
    <row r="52" spans="1:25">
      <c r="A52" s="581" t="s">
        <v>1570</v>
      </c>
      <c r="B52">
        <v>1.6806000000000001</v>
      </c>
      <c r="C52">
        <v>0.35470000000000002</v>
      </c>
      <c r="D52">
        <v>6.4168000000000003</v>
      </c>
      <c r="E52">
        <v>0.92179999999999995</v>
      </c>
      <c r="F52">
        <v>1.3592</v>
      </c>
      <c r="G52">
        <v>1.5237000000000001</v>
      </c>
      <c r="Y52" s="11"/>
    </row>
    <row r="53" spans="1:25">
      <c r="A53" s="581" t="s">
        <v>1571</v>
      </c>
      <c r="B53">
        <v>1.5504</v>
      </c>
      <c r="C53">
        <v>0.33090000000000003</v>
      </c>
      <c r="D53">
        <v>10.936500000000001</v>
      </c>
      <c r="E53">
        <v>0.99160000000000004</v>
      </c>
      <c r="F53">
        <v>1.1874</v>
      </c>
      <c r="G53">
        <v>1.1678999999999999</v>
      </c>
      <c r="N53" s="17"/>
      <c r="O53" s="17"/>
      <c r="P53" s="17"/>
      <c r="Y53" s="11"/>
    </row>
    <row r="54" spans="1:25">
      <c r="A54" s="581" t="s">
        <v>1572</v>
      </c>
      <c r="B54">
        <v>1.494</v>
      </c>
      <c r="C54">
        <v>0.30349999999999999</v>
      </c>
      <c r="D54">
        <v>5.5492999999999997</v>
      </c>
      <c r="E54">
        <v>0.99199999999999999</v>
      </c>
      <c r="F54">
        <v>1.2162999999999999</v>
      </c>
      <c r="G54">
        <v>1.3693</v>
      </c>
      <c r="N54" s="12"/>
      <c r="O54" s="12"/>
      <c r="Y54" s="11"/>
    </row>
    <row r="55" spans="1:25">
      <c r="A55" s="581" t="s">
        <v>1573</v>
      </c>
      <c r="B55">
        <v>1.6167</v>
      </c>
      <c r="C55">
        <v>0.26669999999999999</v>
      </c>
      <c r="D55">
        <v>5.4428000000000001</v>
      </c>
      <c r="E55">
        <v>0.92069999999999996</v>
      </c>
      <c r="F55">
        <v>1.2755000000000001</v>
      </c>
      <c r="G55">
        <v>1.4701</v>
      </c>
      <c r="N55" s="12"/>
      <c r="O55" s="12"/>
      <c r="Y55" s="11"/>
    </row>
    <row r="56" spans="1:25">
      <c r="A56" s="581" t="s">
        <v>1574</v>
      </c>
      <c r="B56">
        <v>1.5402</v>
      </c>
      <c r="C56">
        <v>0.36349999999999999</v>
      </c>
      <c r="D56">
        <v>11.7097</v>
      </c>
      <c r="E56">
        <v>1.0107999999999999</v>
      </c>
      <c r="F56">
        <v>1.1758999999999999</v>
      </c>
      <c r="G56">
        <v>1.1601999999999999</v>
      </c>
      <c r="Y56" s="11"/>
    </row>
    <row r="57" spans="1:25">
      <c r="A57" s="581" t="s">
        <v>1575</v>
      </c>
      <c r="B57">
        <v>1.6231</v>
      </c>
      <c r="C57">
        <v>0.38669999999999999</v>
      </c>
      <c r="D57">
        <v>16.506399999999999</v>
      </c>
      <c r="E57">
        <v>1.0086999999999999</v>
      </c>
      <c r="F57">
        <v>1.1860999999999999</v>
      </c>
      <c r="G57">
        <v>1.1205000000000001</v>
      </c>
      <c r="Y57" s="11"/>
    </row>
    <row r="58" spans="1:25">
      <c r="A58" s="581" t="s">
        <v>1576</v>
      </c>
      <c r="B58">
        <v>1.5087999999999999</v>
      </c>
      <c r="C58">
        <v>0.1242</v>
      </c>
      <c r="D58">
        <v>4.1246</v>
      </c>
      <c r="E58">
        <v>0.90369999999999995</v>
      </c>
      <c r="F58">
        <v>1.6476999999999999</v>
      </c>
      <c r="G58">
        <v>1.5107999999999999</v>
      </c>
      <c r="Y58" s="11"/>
    </row>
    <row r="59" spans="1:25">
      <c r="A59" s="581" t="s">
        <v>1577</v>
      </c>
      <c r="B59">
        <v>1.5239</v>
      </c>
      <c r="C59">
        <v>0.32540000000000002</v>
      </c>
      <c r="D59">
        <v>17.122900000000001</v>
      </c>
      <c r="E59">
        <v>0.96940000000000004</v>
      </c>
      <c r="F59">
        <v>1.1856</v>
      </c>
      <c r="G59">
        <v>1.0912999999999999</v>
      </c>
      <c r="N59" s="12"/>
      <c r="O59" s="14"/>
      <c r="Q59" s="12"/>
      <c r="Y59" s="11"/>
    </row>
    <row r="60" spans="1:25">
      <c r="A60" s="581" t="s">
        <v>1578</v>
      </c>
      <c r="B60">
        <v>1.5542</v>
      </c>
      <c r="C60">
        <v>0.24030000000000001</v>
      </c>
      <c r="D60">
        <v>6.9390999999999998</v>
      </c>
      <c r="E60">
        <v>0.87560000000000004</v>
      </c>
      <c r="F60">
        <v>1.3206</v>
      </c>
      <c r="G60">
        <v>1.2787999999999999</v>
      </c>
      <c r="N60" s="12"/>
      <c r="O60" s="14"/>
      <c r="Q60" s="12"/>
      <c r="Y60" s="11"/>
    </row>
    <row r="61" spans="1:25">
      <c r="A61" s="581" t="s">
        <v>1579</v>
      </c>
      <c r="B61">
        <v>1.4877</v>
      </c>
      <c r="C61">
        <v>0.23569999999999999</v>
      </c>
      <c r="D61">
        <v>11.045</v>
      </c>
      <c r="E61">
        <v>0.83030000000000004</v>
      </c>
      <c r="F61">
        <v>1.2548999999999999</v>
      </c>
      <c r="G61">
        <v>1.1281000000000001</v>
      </c>
      <c r="Y61" s="11"/>
    </row>
    <row r="62" spans="1:25">
      <c r="A62" s="581" t="s">
        <v>1580</v>
      </c>
      <c r="B62">
        <v>1.6155999999999999</v>
      </c>
      <c r="C62">
        <v>0.22459999999999999</v>
      </c>
      <c r="D62">
        <v>5.7888000000000002</v>
      </c>
      <c r="E62">
        <v>0.91539999999999999</v>
      </c>
      <c r="F62">
        <v>1.3640000000000001</v>
      </c>
      <c r="G62">
        <v>1.3701000000000001</v>
      </c>
      <c r="Q62" s="12"/>
      <c r="Y62" s="11"/>
    </row>
    <row r="63" spans="1:25">
      <c r="A63" s="581" t="s">
        <v>1581</v>
      </c>
      <c r="B63">
        <v>0.76359999999999995</v>
      </c>
      <c r="C63">
        <v>8.3099999999999993E-2</v>
      </c>
      <c r="D63">
        <v>2.5929000000000002</v>
      </c>
      <c r="E63">
        <v>0.46899999999999997</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sheetPr codeName="Sheet38">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1.6012999999999999</v>
      </c>
      <c r="C2">
        <v>0.45929999999999999</v>
      </c>
      <c r="D2">
        <v>22.490400000000001</v>
      </c>
      <c r="E2">
        <v>0.74760000000000004</v>
      </c>
      <c r="F2">
        <v>1.3420000000000001</v>
      </c>
      <c r="G2">
        <v>1.2226999999999999</v>
      </c>
    </row>
    <row r="3" spans="1:87">
      <c r="A3" s="581" t="s">
        <v>1521</v>
      </c>
      <c r="B3">
        <v>1.6687000000000001</v>
      </c>
      <c r="C3">
        <v>0.60980000000000001</v>
      </c>
      <c r="D3">
        <v>28.9725</v>
      </c>
      <c r="E3">
        <v>1.0047999999999999</v>
      </c>
      <c r="F3">
        <v>1.2003999999999999</v>
      </c>
      <c r="G3">
        <v>1.1071</v>
      </c>
    </row>
    <row r="4" spans="1:87">
      <c r="A4" s="581" t="s">
        <v>1522</v>
      </c>
      <c r="B4">
        <v>1.3677999999999999</v>
      </c>
      <c r="C4">
        <v>0.22120000000000001</v>
      </c>
      <c r="D4">
        <v>7.4866000000000001</v>
      </c>
      <c r="E4">
        <v>0.85850000000000004</v>
      </c>
      <c r="F4">
        <v>1.4153</v>
      </c>
      <c r="G4">
        <v>1.2265999999999999</v>
      </c>
      <c r="N4" s="17"/>
      <c r="U4" s="21"/>
      <c r="X4" s="21"/>
    </row>
    <row r="5" spans="1:87">
      <c r="A5" s="581" t="s">
        <v>1523</v>
      </c>
      <c r="B5">
        <v>1</v>
      </c>
      <c r="C5">
        <v>0</v>
      </c>
      <c r="D5">
        <v>0</v>
      </c>
      <c r="E5">
        <v>0</v>
      </c>
      <c r="F5">
        <v>0</v>
      </c>
      <c r="G5">
        <v>0</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1.4738</v>
      </c>
      <c r="C6">
        <v>0.23499999999999999</v>
      </c>
      <c r="D6">
        <v>5.2164000000000001</v>
      </c>
      <c r="E6">
        <v>0.69479999999999997</v>
      </c>
      <c r="F6">
        <v>1.5035000000000001</v>
      </c>
      <c r="G6">
        <v>1.4274</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1.2009000000000001</v>
      </c>
      <c r="C7">
        <v>9.64E-2</v>
      </c>
      <c r="D7">
        <v>1.4458</v>
      </c>
      <c r="E7">
        <v>0.81669999999999998</v>
      </c>
      <c r="F7">
        <v>1.7008000000000001</v>
      </c>
      <c r="G7">
        <v>2.6311</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1.4549000000000001</v>
      </c>
      <c r="C8">
        <v>0.26179999999999998</v>
      </c>
      <c r="D8">
        <v>5.3535000000000004</v>
      </c>
      <c r="E8">
        <v>0.79249999999999998</v>
      </c>
      <c r="F8">
        <v>1.4027000000000001</v>
      </c>
      <c r="G8">
        <v>1.4899</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1.4037999999999999</v>
      </c>
      <c r="C9">
        <v>0.15440000000000001</v>
      </c>
      <c r="D9">
        <v>3.7406000000000001</v>
      </c>
      <c r="E9">
        <v>0.57189999999999996</v>
      </c>
      <c r="F9">
        <v>1.7033</v>
      </c>
      <c r="G9">
        <v>1.5499000000000001</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1.4293</v>
      </c>
      <c r="C10">
        <v>0.19420000000000001</v>
      </c>
      <c r="D10">
        <v>3.9580000000000002</v>
      </c>
      <c r="E10">
        <v>0.64429999999999998</v>
      </c>
      <c r="F10">
        <v>1.5693999999999999</v>
      </c>
      <c r="G10">
        <v>1.5927</v>
      </c>
      <c r="U10" s="13"/>
      <c r="V10" s="23"/>
      <c r="W10" s="26"/>
      <c r="Y10" s="11"/>
      <c r="AM10" s="12"/>
      <c r="AV10" s="12"/>
      <c r="BE10" s="12"/>
      <c r="BN10" s="12"/>
      <c r="BW10" s="12"/>
      <c r="CF10" s="12"/>
    </row>
    <row r="11" spans="1:87">
      <c r="A11" s="581" t="s">
        <v>1529</v>
      </c>
      <c r="B11">
        <v>1.5343</v>
      </c>
      <c r="C11">
        <v>0.21659999999999999</v>
      </c>
      <c r="D11">
        <v>5.0414000000000003</v>
      </c>
      <c r="E11">
        <v>0.45179999999999998</v>
      </c>
      <c r="F11">
        <v>1.5799000000000001</v>
      </c>
      <c r="G11">
        <v>1.5365</v>
      </c>
      <c r="U11" s="13"/>
      <c r="V11" s="23"/>
      <c r="Y11" s="11"/>
      <c r="AM11" s="12"/>
      <c r="AP11" s="12"/>
      <c r="AV11" s="12"/>
      <c r="AY11" s="12"/>
      <c r="BE11" s="12"/>
      <c r="BH11" s="12"/>
      <c r="BN11" s="12"/>
      <c r="BQ11" s="12"/>
      <c r="BW11" s="12"/>
      <c r="BZ11" s="12"/>
      <c r="CF11" s="12"/>
      <c r="CI11" s="12"/>
    </row>
    <row r="12" spans="1:87">
      <c r="A12" s="581" t="s">
        <v>1530</v>
      </c>
      <c r="B12">
        <v>1.4011</v>
      </c>
      <c r="C12">
        <v>0.14580000000000001</v>
      </c>
      <c r="D12">
        <v>2.7568000000000001</v>
      </c>
      <c r="E12">
        <v>0.6542</v>
      </c>
      <c r="F12">
        <v>1.6940999999999999</v>
      </c>
      <c r="G12">
        <v>1.8141</v>
      </c>
      <c r="N12" s="15"/>
      <c r="U12" s="13"/>
      <c r="V12" s="23"/>
      <c r="Y12" s="11"/>
      <c r="AM12" s="12"/>
      <c r="AV12" s="12"/>
      <c r="BE12" s="12"/>
      <c r="BN12" s="12"/>
      <c r="BW12" s="12"/>
      <c r="CF12" s="12"/>
    </row>
    <row r="13" spans="1:87">
      <c r="A13" s="581" t="s">
        <v>1531</v>
      </c>
      <c r="B13">
        <v>1.4255</v>
      </c>
      <c r="C13">
        <v>0.15310000000000001</v>
      </c>
      <c r="D13">
        <v>2.4510000000000001</v>
      </c>
      <c r="E13">
        <v>0.7056</v>
      </c>
      <c r="F13">
        <v>1.7709999999999999</v>
      </c>
      <c r="G13">
        <v>2.0933000000000002</v>
      </c>
      <c r="N13" s="16"/>
      <c r="U13" s="13"/>
      <c r="V13" s="23"/>
      <c r="Y13" s="11"/>
      <c r="AM13" s="12"/>
      <c r="AV13" s="12"/>
      <c r="BE13" s="12"/>
      <c r="BN13" s="12"/>
      <c r="BW13" s="12"/>
      <c r="CF13" s="12"/>
    </row>
    <row r="14" spans="1:87">
      <c r="A14" s="581" t="s">
        <v>1532</v>
      </c>
      <c r="B14">
        <v>1.3310999999999999</v>
      </c>
      <c r="C14">
        <v>0.18140000000000001</v>
      </c>
      <c r="D14">
        <v>2.7134</v>
      </c>
      <c r="E14">
        <v>0.91190000000000004</v>
      </c>
      <c r="F14">
        <v>1.4357</v>
      </c>
      <c r="G14">
        <v>1.6617999999999999</v>
      </c>
      <c r="N14" s="16"/>
      <c r="U14" s="13"/>
      <c r="V14" s="23"/>
      <c r="Y14" s="11"/>
      <c r="AM14" s="12"/>
      <c r="AV14" s="12"/>
      <c r="BE14" s="12"/>
      <c r="BN14" s="12"/>
      <c r="BW14" s="12"/>
      <c r="CF14" s="12"/>
    </row>
    <row r="15" spans="1:87">
      <c r="A15" s="581" t="s">
        <v>1533</v>
      </c>
      <c r="B15">
        <v>1.4798</v>
      </c>
      <c r="C15">
        <v>0.20979999999999999</v>
      </c>
      <c r="D15">
        <v>3.8266</v>
      </c>
      <c r="E15">
        <v>0.63949999999999996</v>
      </c>
      <c r="F15">
        <v>1.5705</v>
      </c>
      <c r="G15">
        <v>1.7164999999999999</v>
      </c>
      <c r="N15" s="15"/>
      <c r="U15" s="13"/>
      <c r="V15" s="23"/>
      <c r="Y15" s="11"/>
      <c r="AM15" s="12"/>
      <c r="AV15" s="12"/>
    </row>
    <row r="16" spans="1:87">
      <c r="A16" s="581" t="s">
        <v>1534</v>
      </c>
      <c r="B16">
        <v>1.4981</v>
      </c>
      <c r="C16">
        <v>0.2208</v>
      </c>
      <c r="D16">
        <v>5.3634000000000004</v>
      </c>
      <c r="E16">
        <v>0.44269999999999998</v>
      </c>
      <c r="F16">
        <v>1.5751999999999999</v>
      </c>
      <c r="G16">
        <v>1.4317</v>
      </c>
      <c r="U16" s="13"/>
      <c r="V16" s="23"/>
      <c r="Y16" s="11"/>
      <c r="AM16" s="12"/>
      <c r="AV16" s="12"/>
      <c r="BE16" s="12"/>
      <c r="BN16" s="12"/>
      <c r="BW16" s="12"/>
      <c r="CF16" s="12"/>
    </row>
    <row r="17" spans="1:87">
      <c r="A17" s="581" t="s">
        <v>1535</v>
      </c>
      <c r="B17">
        <v>1.4419999999999999</v>
      </c>
      <c r="C17">
        <v>0.2087</v>
      </c>
      <c r="D17">
        <v>5.1749000000000001</v>
      </c>
      <c r="E17">
        <v>0.55069999999999997</v>
      </c>
      <c r="F17">
        <v>1.4885999999999999</v>
      </c>
      <c r="G17">
        <v>1.3858999999999999</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1.3732</v>
      </c>
      <c r="C18">
        <v>0.2311</v>
      </c>
      <c r="D18">
        <v>4.5236999999999998</v>
      </c>
      <c r="E18">
        <v>0.72799999999999998</v>
      </c>
      <c r="F18">
        <v>1.3583000000000001</v>
      </c>
      <c r="G18">
        <v>1.4390000000000001</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1.3843000000000001</v>
      </c>
      <c r="C19">
        <v>0.32750000000000001</v>
      </c>
      <c r="D19">
        <v>5.1162000000000001</v>
      </c>
      <c r="E19">
        <v>0.81230000000000002</v>
      </c>
      <c r="F19">
        <v>1.2376</v>
      </c>
      <c r="G19">
        <v>1.4005000000000001</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1.5324</v>
      </c>
      <c r="C20">
        <v>0.1694</v>
      </c>
      <c r="D20">
        <v>4.4458000000000002</v>
      </c>
      <c r="E20">
        <v>0.53180000000000005</v>
      </c>
      <c r="F20">
        <v>2.1265000000000001</v>
      </c>
      <c r="G20">
        <v>2.5019999999999998</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1.3953</v>
      </c>
      <c r="C21">
        <v>0.26479999999999998</v>
      </c>
      <c r="D21">
        <v>6.3699000000000003</v>
      </c>
      <c r="E21">
        <v>0.54930000000000001</v>
      </c>
      <c r="F21">
        <v>1.3297000000000001</v>
      </c>
      <c r="G21">
        <v>1.2936000000000001</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v>
      </c>
      <c r="C22">
        <v>0</v>
      </c>
      <c r="D22">
        <v>0</v>
      </c>
      <c r="E22">
        <v>0</v>
      </c>
      <c r="F22">
        <v>0</v>
      </c>
      <c r="G22">
        <v>0</v>
      </c>
      <c r="K22" s="17"/>
      <c r="L22" s="17"/>
      <c r="M22" s="17"/>
      <c r="N22" s="17"/>
      <c r="O22" s="17"/>
      <c r="P22" s="17"/>
      <c r="U22" s="13"/>
      <c r="V22" s="23"/>
      <c r="Y22" s="11"/>
      <c r="AM22" s="12"/>
      <c r="AV22" s="12"/>
      <c r="BE22" s="12"/>
      <c r="BN22" s="12"/>
      <c r="BW22" s="12"/>
      <c r="CF22" s="12"/>
    </row>
    <row r="23" spans="1:87">
      <c r="A23" s="581" t="s">
        <v>1541</v>
      </c>
      <c r="B23">
        <v>1.3173999999999999</v>
      </c>
      <c r="C23">
        <v>0.11219999999999999</v>
      </c>
      <c r="D23">
        <v>1.9722</v>
      </c>
      <c r="E23">
        <v>0.5242</v>
      </c>
      <c r="F23">
        <v>1.7887</v>
      </c>
      <c r="G23">
        <v>1.9514</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1.4912000000000001</v>
      </c>
      <c r="C24">
        <v>0.22600000000000001</v>
      </c>
      <c r="D24">
        <v>4.8973000000000004</v>
      </c>
      <c r="E24">
        <v>0.65539999999999998</v>
      </c>
      <c r="F24">
        <v>1.5193000000000001</v>
      </c>
      <c r="G24">
        <v>1.506</v>
      </c>
      <c r="K24" s="17"/>
      <c r="L24" s="17"/>
      <c r="M24" s="17"/>
      <c r="N24" s="18"/>
      <c r="O24" s="18"/>
      <c r="P24" s="17"/>
      <c r="R24" s="11"/>
      <c r="U24" s="13"/>
      <c r="V24" s="23"/>
      <c r="Y24" s="11"/>
      <c r="AM24" s="12"/>
      <c r="AV24" s="12"/>
      <c r="BE24" s="12"/>
      <c r="BN24" s="12"/>
      <c r="BW24" s="12"/>
      <c r="CF24" s="12"/>
    </row>
    <row r="25" spans="1:87">
      <c r="A25" s="581" t="s">
        <v>1543</v>
      </c>
      <c r="B25">
        <v>1.1897</v>
      </c>
      <c r="C25">
        <v>9.1399999999999995E-2</v>
      </c>
      <c r="D25">
        <v>1.3683000000000001</v>
      </c>
      <c r="E25">
        <v>0.38</v>
      </c>
      <c r="F25">
        <v>1.5153000000000001</v>
      </c>
      <c r="G25">
        <v>2.4573</v>
      </c>
      <c r="K25" s="17"/>
      <c r="L25" s="17"/>
      <c r="M25" s="17"/>
      <c r="N25" s="18"/>
      <c r="O25" s="17"/>
      <c r="P25" s="17"/>
      <c r="U25" s="13"/>
      <c r="V25" s="23"/>
      <c r="Y25" s="11"/>
      <c r="AM25" s="12"/>
      <c r="AV25" s="12"/>
      <c r="BE25" s="12"/>
      <c r="BN25" s="12"/>
      <c r="BW25" s="12"/>
      <c r="CF25" s="12"/>
    </row>
    <row r="26" spans="1:87">
      <c r="A26" s="581" t="s">
        <v>1544</v>
      </c>
      <c r="B26">
        <v>1.4224000000000001</v>
      </c>
      <c r="C26">
        <v>0.12130000000000001</v>
      </c>
      <c r="D26">
        <v>1.7636000000000001</v>
      </c>
      <c r="E26">
        <v>0.60360000000000003</v>
      </c>
      <c r="F26">
        <v>2.0543</v>
      </c>
      <c r="G26">
        <v>3.0198</v>
      </c>
      <c r="Y26" s="11"/>
      <c r="AM26" s="12"/>
      <c r="AV26" s="12"/>
      <c r="BE26" s="12"/>
      <c r="BN26" s="12"/>
      <c r="BW26" s="12"/>
      <c r="CF26" s="12"/>
    </row>
    <row r="27" spans="1:87">
      <c r="A27" s="581" t="s">
        <v>1545</v>
      </c>
      <c r="B27">
        <v>1.3254999999999999</v>
      </c>
      <c r="C27">
        <v>0.1321</v>
      </c>
      <c r="D27">
        <v>2.6383000000000001</v>
      </c>
      <c r="E27">
        <v>0.55669999999999997</v>
      </c>
      <c r="F27">
        <v>1.5529999999999999</v>
      </c>
      <c r="G27">
        <v>1.5829</v>
      </c>
      <c r="M27" s="12"/>
      <c r="Y27" s="11"/>
      <c r="AM27" s="12"/>
      <c r="AV27" s="12"/>
    </row>
    <row r="28" spans="1:87">
      <c r="A28" s="581" t="s">
        <v>1546</v>
      </c>
      <c r="B28">
        <v>1.3713</v>
      </c>
      <c r="C28">
        <v>0.21410000000000001</v>
      </c>
      <c r="D28">
        <v>3.4641999999999999</v>
      </c>
      <c r="E28">
        <v>0.88129999999999997</v>
      </c>
      <c r="F28">
        <v>1.4120999999999999</v>
      </c>
      <c r="G28">
        <v>1.6395</v>
      </c>
      <c r="M28" s="13"/>
      <c r="N28" s="12"/>
      <c r="O28" s="14"/>
      <c r="Q28" s="12"/>
      <c r="Y28" s="11"/>
      <c r="AM28" s="12"/>
      <c r="AV28" s="12"/>
      <c r="BE28" s="12"/>
      <c r="BN28" s="12"/>
      <c r="BW28" s="12"/>
      <c r="CF28" s="12"/>
    </row>
    <row r="29" spans="1:87">
      <c r="A29" s="581" t="s">
        <v>1547</v>
      </c>
      <c r="B29">
        <v>1.3636999999999999</v>
      </c>
      <c r="C29">
        <v>0.24210000000000001</v>
      </c>
      <c r="D29">
        <v>7.9808000000000003</v>
      </c>
      <c r="E29">
        <v>0.88990000000000002</v>
      </c>
      <c r="F29">
        <v>1.3146</v>
      </c>
      <c r="G29">
        <v>1.2138</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1.2989999999999999</v>
      </c>
      <c r="C30">
        <v>0.1236</v>
      </c>
      <c r="D30">
        <v>2.4407999999999999</v>
      </c>
      <c r="E30">
        <v>0.60219999999999996</v>
      </c>
      <c r="F30">
        <v>1.6077999999999999</v>
      </c>
      <c r="G30">
        <v>1.9452</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1.4962</v>
      </c>
      <c r="C31">
        <v>0.27679999999999999</v>
      </c>
      <c r="D31">
        <v>4.3978999999999999</v>
      </c>
      <c r="E31">
        <v>0.71870000000000001</v>
      </c>
      <c r="F31">
        <v>1.4298</v>
      </c>
      <c r="G31">
        <v>1.7271000000000001</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v>
      </c>
      <c r="C32">
        <v>0</v>
      </c>
      <c r="D32">
        <v>0</v>
      </c>
      <c r="E32">
        <v>0</v>
      </c>
      <c r="F32">
        <v>0</v>
      </c>
      <c r="G32">
        <v>0</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1.3738999999999999</v>
      </c>
      <c r="C33">
        <v>0.1605</v>
      </c>
      <c r="D33">
        <v>3.5809000000000002</v>
      </c>
      <c r="E33">
        <v>0.68200000000000005</v>
      </c>
      <c r="F33">
        <v>1.5470999999999999</v>
      </c>
      <c r="G33">
        <v>1.5805</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1.2916000000000001</v>
      </c>
      <c r="C34">
        <v>0.248</v>
      </c>
      <c r="D34">
        <v>7.3743999999999996</v>
      </c>
      <c r="E34">
        <v>0.87829999999999997</v>
      </c>
      <c r="F34">
        <v>1.2270000000000001</v>
      </c>
      <c r="G34">
        <v>1.1752</v>
      </c>
      <c r="K34" s="17"/>
      <c r="L34" s="17"/>
      <c r="M34" s="17"/>
      <c r="N34" s="17"/>
      <c r="O34" s="17"/>
      <c r="P34" s="17"/>
      <c r="Y34" s="11"/>
      <c r="AM34" s="12"/>
      <c r="AV34" s="12"/>
      <c r="BE34" s="12"/>
      <c r="BN34" s="12"/>
      <c r="BW34" s="12"/>
      <c r="CF34" s="12"/>
    </row>
    <row r="35" spans="1:87">
      <c r="A35" s="581" t="s">
        <v>1553</v>
      </c>
      <c r="B35">
        <v>1.6371</v>
      </c>
      <c r="C35">
        <v>0.58340000000000003</v>
      </c>
      <c r="D35">
        <v>8.0955999999999992</v>
      </c>
      <c r="E35">
        <v>1.0071000000000001</v>
      </c>
      <c r="F35">
        <v>1.2273000000000001</v>
      </c>
      <c r="G35">
        <v>1.4886999999999999</v>
      </c>
      <c r="K35" s="17"/>
      <c r="L35" s="17"/>
      <c r="M35" s="17"/>
      <c r="N35" s="18"/>
      <c r="O35" s="18"/>
      <c r="P35" s="17"/>
      <c r="Y35" s="11"/>
      <c r="AM35" s="12"/>
      <c r="AP35" s="12"/>
      <c r="AV35" s="12"/>
      <c r="AY35" s="12"/>
      <c r="BE35" s="12"/>
      <c r="BH35" s="12"/>
      <c r="BN35" s="12"/>
      <c r="BQ35" s="12"/>
      <c r="BW35" s="12"/>
      <c r="BZ35" s="12"/>
      <c r="CF35" s="12"/>
      <c r="CI35" s="12"/>
    </row>
    <row r="36" spans="1:87">
      <c r="A36" s="581" t="s">
        <v>1554</v>
      </c>
      <c r="B36">
        <v>1.2765</v>
      </c>
      <c r="C36">
        <v>0.24890000000000001</v>
      </c>
      <c r="D36">
        <v>5.3528000000000002</v>
      </c>
      <c r="E36">
        <v>0.86329999999999996</v>
      </c>
      <c r="F36">
        <v>1.2245999999999999</v>
      </c>
      <c r="G36">
        <v>1.2853000000000001</v>
      </c>
      <c r="K36" s="17"/>
      <c r="L36" s="17"/>
      <c r="M36" s="17"/>
      <c r="N36" s="18"/>
      <c r="O36" s="18"/>
      <c r="P36" s="17"/>
      <c r="Y36" s="11"/>
      <c r="AM36" s="12"/>
      <c r="AV36" s="12"/>
      <c r="BE36" s="12"/>
      <c r="BN36" s="12"/>
      <c r="BW36" s="12"/>
      <c r="CF36" s="12"/>
    </row>
    <row r="37" spans="1:87">
      <c r="A37" s="581" t="s">
        <v>1555</v>
      </c>
      <c r="B37">
        <v>1.4464999999999999</v>
      </c>
      <c r="C37">
        <v>0.45550000000000002</v>
      </c>
      <c r="D37">
        <v>11.3733</v>
      </c>
      <c r="E37">
        <v>1.0098</v>
      </c>
      <c r="F37">
        <v>1.1858</v>
      </c>
      <c r="G37">
        <v>1.1967000000000001</v>
      </c>
      <c r="K37" s="17"/>
      <c r="L37" s="17"/>
      <c r="M37" s="17"/>
      <c r="N37" s="17"/>
      <c r="O37" s="17"/>
      <c r="P37" s="17"/>
      <c r="Y37" s="11"/>
    </row>
    <row r="38" spans="1:87">
      <c r="A38" s="581" t="s">
        <v>1556</v>
      </c>
      <c r="B38">
        <v>1.4417</v>
      </c>
      <c r="C38">
        <v>0.20280000000000001</v>
      </c>
      <c r="D38">
        <v>3.7185000000000001</v>
      </c>
      <c r="E38">
        <v>0.74919999999999998</v>
      </c>
      <c r="F38">
        <v>1.5909</v>
      </c>
      <c r="G38">
        <v>1.7695000000000001</v>
      </c>
      <c r="Y38" s="11"/>
    </row>
    <row r="39" spans="1:87">
      <c r="A39" s="581" t="s">
        <v>1557</v>
      </c>
      <c r="B39">
        <v>1.3969</v>
      </c>
      <c r="C39">
        <v>0.28820000000000001</v>
      </c>
      <c r="D39">
        <v>7.3666</v>
      </c>
      <c r="E39">
        <v>0.82389999999999997</v>
      </c>
      <c r="F39">
        <v>1.3057000000000001</v>
      </c>
      <c r="G39">
        <v>1.2898000000000001</v>
      </c>
      <c r="Y39" s="11"/>
    </row>
    <row r="40" spans="1:87">
      <c r="A40" s="581" t="s">
        <v>1558</v>
      </c>
      <c r="B40">
        <v>1.2018</v>
      </c>
      <c r="C40">
        <v>0.15809999999999999</v>
      </c>
      <c r="D40">
        <v>2.0830000000000002</v>
      </c>
      <c r="E40">
        <v>0.49859999999999999</v>
      </c>
      <c r="F40">
        <v>1.2951999999999999</v>
      </c>
      <c r="G40">
        <v>1.8147</v>
      </c>
      <c r="N40" s="12"/>
      <c r="O40" s="14"/>
      <c r="Q40" s="12"/>
      <c r="Y40" s="11"/>
    </row>
    <row r="41" spans="1:87">
      <c r="A41" s="581" t="s">
        <v>1559</v>
      </c>
      <c r="B41">
        <v>1.3299000000000001</v>
      </c>
      <c r="C41">
        <v>0.17219999999999999</v>
      </c>
      <c r="D41">
        <v>2.8058999999999998</v>
      </c>
      <c r="E41">
        <v>0.77790000000000004</v>
      </c>
      <c r="F41">
        <v>1.4842</v>
      </c>
      <c r="G41">
        <v>1.7918000000000001</v>
      </c>
      <c r="N41" s="12"/>
      <c r="O41" s="14"/>
      <c r="Q41" s="12"/>
      <c r="Y41" s="11"/>
    </row>
    <row r="42" spans="1:87">
      <c r="A42" s="581" t="s">
        <v>1560</v>
      </c>
      <c r="B42">
        <v>1.3736999999999999</v>
      </c>
      <c r="C42">
        <v>0.1303</v>
      </c>
      <c r="D42">
        <v>2.2612000000000001</v>
      </c>
      <c r="E42">
        <v>0.7157</v>
      </c>
      <c r="F42">
        <v>1.9472</v>
      </c>
      <c r="G42">
        <v>2.5922999999999998</v>
      </c>
      <c r="Y42" s="11"/>
    </row>
    <row r="43" spans="1:87">
      <c r="A43" s="581" t="s">
        <v>1561</v>
      </c>
      <c r="B43">
        <v>1.4056999999999999</v>
      </c>
      <c r="C43">
        <v>0.1671</v>
      </c>
      <c r="D43">
        <v>3.1110000000000002</v>
      </c>
      <c r="E43">
        <v>0.81320000000000003</v>
      </c>
      <c r="F43">
        <v>1.6427</v>
      </c>
      <c r="G43">
        <v>1.8813</v>
      </c>
      <c r="Q43" s="12"/>
      <c r="Y43" s="11"/>
    </row>
    <row r="44" spans="1:87">
      <c r="A44" s="581" t="s">
        <v>1562</v>
      </c>
      <c r="B44">
        <v>1.5710999999999999</v>
      </c>
      <c r="C44">
        <v>0.31609999999999999</v>
      </c>
      <c r="D44">
        <v>5.8746999999999998</v>
      </c>
      <c r="E44">
        <v>0.7137</v>
      </c>
      <c r="F44">
        <v>1.4261999999999999</v>
      </c>
      <c r="G44">
        <v>1.5530999999999999</v>
      </c>
      <c r="Y44" s="11"/>
    </row>
    <row r="45" spans="1:87">
      <c r="A45" s="581" t="s">
        <v>1563</v>
      </c>
      <c r="B45">
        <v>1.4261999999999999</v>
      </c>
      <c r="C45">
        <v>0.15029999999999999</v>
      </c>
      <c r="D45">
        <v>2.4881000000000002</v>
      </c>
      <c r="E45">
        <v>0.91979999999999995</v>
      </c>
      <c r="F45">
        <v>1.5764</v>
      </c>
      <c r="G45">
        <v>1.7850999999999999</v>
      </c>
      <c r="Q45" s="12"/>
      <c r="Y45" s="11"/>
    </row>
    <row r="46" spans="1:87">
      <c r="A46" s="581" t="s">
        <v>1564</v>
      </c>
      <c r="B46">
        <v>1.3541000000000001</v>
      </c>
      <c r="C46">
        <v>0.1736</v>
      </c>
      <c r="D46">
        <v>7.9478</v>
      </c>
      <c r="E46">
        <v>0.61050000000000004</v>
      </c>
      <c r="F46">
        <v>1.5291999999999999</v>
      </c>
      <c r="G46">
        <v>1.1889000000000001</v>
      </c>
      <c r="Q46" s="16"/>
      <c r="Y46" s="11"/>
    </row>
    <row r="47" spans="1:87">
      <c r="A47" s="581" t="s">
        <v>1565</v>
      </c>
      <c r="B47">
        <v>1.2901</v>
      </c>
      <c r="C47">
        <v>7.3499999999999996E-2</v>
      </c>
      <c r="D47">
        <v>3.7446000000000002</v>
      </c>
      <c r="E47">
        <v>0.87129999999999996</v>
      </c>
      <c r="F47">
        <v>2.1297000000000001</v>
      </c>
      <c r="G47">
        <v>1.3217000000000001</v>
      </c>
      <c r="Q47" s="16"/>
      <c r="Y47" s="11"/>
    </row>
    <row r="48" spans="1:87">
      <c r="A48" s="581" t="s">
        <v>1566</v>
      </c>
      <c r="B48">
        <v>1.2922</v>
      </c>
      <c r="C48">
        <v>0.18379999999999999</v>
      </c>
      <c r="D48">
        <v>3.0390999999999999</v>
      </c>
      <c r="E48">
        <v>0.91390000000000005</v>
      </c>
      <c r="F48">
        <v>1.3452</v>
      </c>
      <c r="G48">
        <v>1.5429999999999999</v>
      </c>
      <c r="Y48" s="11"/>
    </row>
    <row r="49" spans="1:25">
      <c r="A49" s="581" t="s">
        <v>1567</v>
      </c>
      <c r="B49">
        <v>1.4498</v>
      </c>
      <c r="C49">
        <v>0.31069999999999998</v>
      </c>
      <c r="D49">
        <v>5.2069999999999999</v>
      </c>
      <c r="E49">
        <v>0.99870000000000003</v>
      </c>
      <c r="F49">
        <v>1.3308</v>
      </c>
      <c r="G49">
        <v>1.5456000000000001</v>
      </c>
      <c r="Y49" s="11"/>
    </row>
    <row r="50" spans="1:25">
      <c r="A50" s="581" t="s">
        <v>1568</v>
      </c>
      <c r="B50">
        <v>1.4297</v>
      </c>
      <c r="C50">
        <v>0.30309999999999998</v>
      </c>
      <c r="D50">
        <v>3.8315000000000001</v>
      </c>
      <c r="E50">
        <v>0.92020000000000002</v>
      </c>
      <c r="F50">
        <v>1.3224</v>
      </c>
      <c r="G50">
        <v>1.8028</v>
      </c>
      <c r="Y50" s="11"/>
    </row>
    <row r="51" spans="1:25">
      <c r="A51" s="581" t="s">
        <v>1569</v>
      </c>
      <c r="B51">
        <v>1.3927</v>
      </c>
      <c r="C51">
        <v>0.26200000000000001</v>
      </c>
      <c r="D51">
        <v>9.0035000000000007</v>
      </c>
      <c r="E51">
        <v>0.9113</v>
      </c>
      <c r="F51">
        <v>1.3236000000000001</v>
      </c>
      <c r="G51">
        <v>1.2092000000000001</v>
      </c>
      <c r="Y51" s="11"/>
    </row>
    <row r="52" spans="1:25">
      <c r="A52" s="581" t="s">
        <v>1570</v>
      </c>
      <c r="B52">
        <v>1.4928999999999999</v>
      </c>
      <c r="C52">
        <v>0.35570000000000002</v>
      </c>
      <c r="D52">
        <v>6.3349000000000002</v>
      </c>
      <c r="E52">
        <v>0.81989999999999996</v>
      </c>
      <c r="F52">
        <v>1.3164</v>
      </c>
      <c r="G52">
        <v>1.4527000000000001</v>
      </c>
      <c r="Y52" s="11"/>
    </row>
    <row r="53" spans="1:25">
      <c r="A53" s="581" t="s">
        <v>1571</v>
      </c>
      <c r="B53">
        <v>1.4281999999999999</v>
      </c>
      <c r="C53">
        <v>0.38829999999999998</v>
      </c>
      <c r="D53">
        <v>12.5741</v>
      </c>
      <c r="E53">
        <v>0.92400000000000004</v>
      </c>
      <c r="F53">
        <v>1.2088000000000001</v>
      </c>
      <c r="G53">
        <v>1.1651</v>
      </c>
      <c r="K53" s="17"/>
      <c r="N53" s="17"/>
      <c r="O53" s="17"/>
      <c r="P53" s="17"/>
      <c r="Y53" s="11"/>
    </row>
    <row r="54" spans="1:25">
      <c r="A54" s="581" t="s">
        <v>1572</v>
      </c>
      <c r="B54">
        <v>1.4973000000000001</v>
      </c>
      <c r="C54">
        <v>0.4501</v>
      </c>
      <c r="D54">
        <v>8.0195000000000007</v>
      </c>
      <c r="E54">
        <v>1.0004999999999999</v>
      </c>
      <c r="F54">
        <v>1.2334000000000001</v>
      </c>
      <c r="G54">
        <v>1.3529</v>
      </c>
      <c r="K54" s="17"/>
      <c r="N54" s="12"/>
      <c r="O54" s="12"/>
      <c r="Y54" s="11"/>
    </row>
    <row r="55" spans="1:25">
      <c r="A55" s="581" t="s">
        <v>1573</v>
      </c>
      <c r="B55">
        <v>1.5073000000000001</v>
      </c>
      <c r="C55">
        <v>0.32119999999999999</v>
      </c>
      <c r="D55">
        <v>6.2157999999999998</v>
      </c>
      <c r="E55">
        <v>0.85860000000000003</v>
      </c>
      <c r="F55">
        <v>1.3286</v>
      </c>
      <c r="G55">
        <v>1.4518</v>
      </c>
      <c r="K55" s="17"/>
      <c r="N55" s="12"/>
      <c r="O55" s="12"/>
      <c r="Y55" s="11"/>
    </row>
    <row r="56" spans="1:25">
      <c r="A56" s="581" t="s">
        <v>1574</v>
      </c>
      <c r="B56">
        <v>1.3593</v>
      </c>
      <c r="C56">
        <v>0.24299999999999999</v>
      </c>
      <c r="D56">
        <v>7.5102000000000002</v>
      </c>
      <c r="E56">
        <v>0.90300000000000002</v>
      </c>
      <c r="F56">
        <v>1.2981</v>
      </c>
      <c r="G56">
        <v>1.2286999999999999</v>
      </c>
      <c r="K56" s="17"/>
      <c r="Y56" s="11"/>
    </row>
    <row r="57" spans="1:25">
      <c r="A57" s="581" t="s">
        <v>1575</v>
      </c>
      <c r="B57">
        <v>1.4837</v>
      </c>
      <c r="C57">
        <v>0.41249999999999998</v>
      </c>
      <c r="D57">
        <v>17.1189</v>
      </c>
      <c r="E57">
        <v>0.94089999999999996</v>
      </c>
      <c r="F57">
        <v>1.2319</v>
      </c>
      <c r="G57">
        <v>1.1315999999999999</v>
      </c>
      <c r="Y57" s="11"/>
    </row>
    <row r="58" spans="1:25">
      <c r="A58" s="581" t="s">
        <v>1576</v>
      </c>
      <c r="B58">
        <v>1.4464999999999999</v>
      </c>
      <c r="C58">
        <v>0.32529999999999998</v>
      </c>
      <c r="D58">
        <v>11.028</v>
      </c>
      <c r="E58">
        <v>0.87880000000000003</v>
      </c>
      <c r="F58">
        <v>1.2914000000000001</v>
      </c>
      <c r="G58">
        <v>1.2087000000000001</v>
      </c>
      <c r="Y58" s="11"/>
    </row>
    <row r="59" spans="1:25">
      <c r="A59" s="581" t="s">
        <v>1577</v>
      </c>
      <c r="B59">
        <v>1.3742000000000001</v>
      </c>
      <c r="C59">
        <v>0.2334</v>
      </c>
      <c r="D59">
        <v>11.395</v>
      </c>
      <c r="E59">
        <v>0.88280000000000003</v>
      </c>
      <c r="F59">
        <v>1.335</v>
      </c>
      <c r="G59">
        <v>1.1404000000000001</v>
      </c>
      <c r="N59" s="12"/>
      <c r="O59" s="14"/>
      <c r="Q59" s="12"/>
      <c r="Y59" s="11"/>
    </row>
    <row r="60" spans="1:25">
      <c r="A60" s="581" t="s">
        <v>1578</v>
      </c>
      <c r="B60">
        <v>1.4615</v>
      </c>
      <c r="C60">
        <v>0.21290000000000001</v>
      </c>
      <c r="D60">
        <v>5.7662000000000004</v>
      </c>
      <c r="E60">
        <v>0.82930000000000004</v>
      </c>
      <c r="F60">
        <v>1.5938000000000001</v>
      </c>
      <c r="G60">
        <v>1.4476</v>
      </c>
      <c r="N60" s="12"/>
      <c r="O60" s="14"/>
      <c r="Q60" s="12"/>
      <c r="Y60" s="11"/>
    </row>
    <row r="61" spans="1:25">
      <c r="A61" s="581" t="s">
        <v>1579</v>
      </c>
      <c r="B61">
        <v>1.4123000000000001</v>
      </c>
      <c r="C61">
        <v>0.22559999999999999</v>
      </c>
      <c r="D61">
        <v>9.8797999999999995</v>
      </c>
      <c r="E61">
        <v>0.79079999999999995</v>
      </c>
      <c r="F61">
        <v>1.4054</v>
      </c>
      <c r="G61">
        <v>1.1808000000000001</v>
      </c>
      <c r="Y61" s="11"/>
    </row>
    <row r="62" spans="1:25">
      <c r="A62" s="581" t="s">
        <v>1580</v>
      </c>
      <c r="B62">
        <v>1.413</v>
      </c>
      <c r="C62">
        <v>0.2707</v>
      </c>
      <c r="D62">
        <v>6.8658999999999999</v>
      </c>
      <c r="E62">
        <v>0.81130000000000002</v>
      </c>
      <c r="F62">
        <v>1.3271999999999999</v>
      </c>
      <c r="G62">
        <v>1.3115000000000001</v>
      </c>
      <c r="Q62" s="12"/>
      <c r="Y62" s="11"/>
    </row>
    <row r="63" spans="1:25">
      <c r="A63" s="581" t="s">
        <v>1581</v>
      </c>
      <c r="B63">
        <v>0.75880000000000003</v>
      </c>
      <c r="C63">
        <v>0.12640000000000001</v>
      </c>
      <c r="D63">
        <v>3.4973000000000001</v>
      </c>
      <c r="E63">
        <v>0.4763</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sheetPr codeName="Sheet37">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1.3269</v>
      </c>
      <c r="C2">
        <v>0.28420000000000001</v>
      </c>
      <c r="D2">
        <v>13.984</v>
      </c>
      <c r="E2">
        <v>0.59770000000000001</v>
      </c>
      <c r="F2">
        <v>1.2091000000000001</v>
      </c>
      <c r="G2">
        <v>1.1072</v>
      </c>
    </row>
    <row r="3" spans="1:87">
      <c r="A3" s="581" t="s">
        <v>1521</v>
      </c>
      <c r="B3">
        <v>1.5137</v>
      </c>
      <c r="C3">
        <v>0.61719999999999997</v>
      </c>
      <c r="D3">
        <v>29.778400000000001</v>
      </c>
      <c r="E3">
        <v>0.92100000000000004</v>
      </c>
      <c r="F3">
        <v>1.1488</v>
      </c>
      <c r="G3">
        <v>1.0759000000000001</v>
      </c>
    </row>
    <row r="4" spans="1:87">
      <c r="A4" s="581" t="s">
        <v>1522</v>
      </c>
      <c r="B4">
        <v>1.2789999999999999</v>
      </c>
      <c r="C4">
        <v>0.1638</v>
      </c>
      <c r="D4">
        <v>5.4714</v>
      </c>
      <c r="E4">
        <v>0.80430000000000001</v>
      </c>
      <c r="F4">
        <v>1.4152</v>
      </c>
      <c r="G4">
        <v>1.2109000000000001</v>
      </c>
      <c r="N4" s="17"/>
      <c r="U4" s="21"/>
      <c r="X4" s="21"/>
    </row>
    <row r="5" spans="1:87">
      <c r="A5" s="581" t="s">
        <v>1523</v>
      </c>
      <c r="B5">
        <v>1.2533000000000001</v>
      </c>
      <c r="C5">
        <v>0.18090000000000001</v>
      </c>
      <c r="D5">
        <v>3.4056999999999999</v>
      </c>
      <c r="E5">
        <v>0.72870000000000001</v>
      </c>
      <c r="F5">
        <v>1.2850999999999999</v>
      </c>
      <c r="G5">
        <v>1.3404</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1.4066000000000001</v>
      </c>
      <c r="C6">
        <v>0.14940000000000001</v>
      </c>
      <c r="D6">
        <v>3.1703000000000001</v>
      </c>
      <c r="E6">
        <v>0.65890000000000004</v>
      </c>
      <c r="F6">
        <v>1.8216000000000001</v>
      </c>
      <c r="G6">
        <v>1.6535</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1.1186</v>
      </c>
      <c r="C7">
        <v>7.6100000000000001E-2</v>
      </c>
      <c r="D7">
        <v>0.99360000000000004</v>
      </c>
      <c r="E7">
        <v>0.76559999999999995</v>
      </c>
      <c r="F7">
        <v>1.3540000000000001</v>
      </c>
      <c r="G7">
        <v>1.8239000000000001</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1.4035</v>
      </c>
      <c r="C8">
        <v>0.2349</v>
      </c>
      <c r="D8">
        <v>4.7657999999999996</v>
      </c>
      <c r="E8">
        <v>0.76219999999999999</v>
      </c>
      <c r="F8">
        <v>1.3705000000000001</v>
      </c>
      <c r="G8">
        <v>1.4442999999999999</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1.3012999999999999</v>
      </c>
      <c r="C9">
        <v>0.104</v>
      </c>
      <c r="D9">
        <v>2.5363000000000002</v>
      </c>
      <c r="E9">
        <v>0.50939999999999996</v>
      </c>
      <c r="F9">
        <v>1.6677</v>
      </c>
      <c r="G9">
        <v>1.5278</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1.3794</v>
      </c>
      <c r="C10">
        <v>0.19470000000000001</v>
      </c>
      <c r="D10">
        <v>3.9647999999999999</v>
      </c>
      <c r="E10">
        <v>0.61629999999999996</v>
      </c>
      <c r="F10">
        <v>1.4574</v>
      </c>
      <c r="G10">
        <v>1.4782</v>
      </c>
      <c r="U10" s="13"/>
      <c r="V10" s="23"/>
      <c r="W10" s="26"/>
      <c r="Y10" s="11"/>
      <c r="AM10" s="12"/>
      <c r="AV10" s="12"/>
      <c r="BE10" s="12"/>
      <c r="BN10" s="12"/>
      <c r="BW10" s="12"/>
      <c r="CF10" s="12"/>
    </row>
    <row r="11" spans="1:87">
      <c r="A11" s="581" t="s">
        <v>1529</v>
      </c>
      <c r="B11">
        <v>1.3483000000000001</v>
      </c>
      <c r="C11">
        <v>0.1246</v>
      </c>
      <c r="D11">
        <v>2.8138999999999998</v>
      </c>
      <c r="E11">
        <v>0.40479999999999999</v>
      </c>
      <c r="F11">
        <v>1.6993</v>
      </c>
      <c r="G11">
        <v>1.6039000000000001</v>
      </c>
      <c r="U11" s="13"/>
      <c r="V11" s="23"/>
      <c r="Y11" s="11"/>
      <c r="AM11" s="12"/>
      <c r="AP11" s="12"/>
      <c r="AV11" s="12"/>
      <c r="AY11" s="12"/>
      <c r="BE11" s="12"/>
      <c r="BH11" s="12"/>
      <c r="BN11" s="12"/>
      <c r="BQ11" s="12"/>
      <c r="BW11" s="12"/>
      <c r="BZ11" s="12"/>
      <c r="CF11" s="12"/>
      <c r="CI11" s="12"/>
    </row>
    <row r="12" spans="1:87">
      <c r="A12" s="581" t="s">
        <v>1530</v>
      </c>
      <c r="B12">
        <v>1.3312999999999999</v>
      </c>
      <c r="C12">
        <v>0.1179</v>
      </c>
      <c r="D12">
        <v>2.2349999999999999</v>
      </c>
      <c r="E12">
        <v>0.62080000000000002</v>
      </c>
      <c r="F12">
        <v>1.6371</v>
      </c>
      <c r="G12">
        <v>1.7565</v>
      </c>
      <c r="N12" s="15"/>
      <c r="U12" s="13"/>
      <c r="V12" s="23"/>
      <c r="Y12" s="11"/>
      <c r="AM12" s="12"/>
      <c r="AV12" s="12"/>
      <c r="BE12" s="12"/>
      <c r="BN12" s="12"/>
      <c r="BW12" s="12"/>
      <c r="CF12" s="12"/>
    </row>
    <row r="13" spans="1:87">
      <c r="A13" s="581" t="s">
        <v>1531</v>
      </c>
      <c r="B13">
        <v>1.3503000000000001</v>
      </c>
      <c r="C13">
        <v>0.21260000000000001</v>
      </c>
      <c r="D13">
        <v>3.3246000000000002</v>
      </c>
      <c r="E13">
        <v>0.66069999999999995</v>
      </c>
      <c r="F13">
        <v>1.3534999999999999</v>
      </c>
      <c r="G13">
        <v>1.5625</v>
      </c>
      <c r="N13" s="16"/>
      <c r="U13" s="13"/>
      <c r="V13" s="23"/>
      <c r="Y13" s="11"/>
      <c r="AM13" s="12"/>
      <c r="AV13" s="12"/>
      <c r="BE13" s="12"/>
      <c r="BN13" s="12"/>
      <c r="BW13" s="12"/>
      <c r="CF13" s="12"/>
    </row>
    <row r="14" spans="1:87">
      <c r="A14" s="581" t="s">
        <v>1532</v>
      </c>
      <c r="B14">
        <v>1.3095000000000001</v>
      </c>
      <c r="C14">
        <v>0.1525</v>
      </c>
      <c r="D14">
        <v>2.2884000000000002</v>
      </c>
      <c r="E14">
        <v>0.89280000000000004</v>
      </c>
      <c r="F14">
        <v>1.4823999999999999</v>
      </c>
      <c r="G14">
        <v>1.7221</v>
      </c>
      <c r="N14" s="16"/>
      <c r="U14" s="13"/>
      <c r="V14" s="23"/>
      <c r="Y14" s="11"/>
      <c r="AM14" s="12"/>
      <c r="AV14" s="12"/>
      <c r="BE14" s="12"/>
      <c r="BN14" s="12"/>
      <c r="BW14" s="12"/>
      <c r="CF14" s="12"/>
    </row>
    <row r="15" spans="1:87">
      <c r="A15" s="581" t="s">
        <v>1533</v>
      </c>
      <c r="B15">
        <v>1.3986000000000001</v>
      </c>
      <c r="C15">
        <v>0.12740000000000001</v>
      </c>
      <c r="D15">
        <v>2.2364999999999999</v>
      </c>
      <c r="E15">
        <v>0.62819999999999998</v>
      </c>
      <c r="F15">
        <v>1.9901</v>
      </c>
      <c r="G15">
        <v>2.0933000000000002</v>
      </c>
      <c r="N15" s="15"/>
      <c r="U15" s="13"/>
      <c r="V15" s="23"/>
      <c r="Y15" s="11"/>
      <c r="AM15" s="12"/>
      <c r="AV15" s="12"/>
    </row>
    <row r="16" spans="1:87">
      <c r="A16" s="581" t="s">
        <v>1534</v>
      </c>
      <c r="B16">
        <v>1.4161999999999999</v>
      </c>
      <c r="C16">
        <v>0.14610000000000001</v>
      </c>
      <c r="D16">
        <v>3.3767</v>
      </c>
      <c r="E16">
        <v>0.39100000000000001</v>
      </c>
      <c r="F16">
        <v>1.8452</v>
      </c>
      <c r="G16">
        <v>1.5958000000000001</v>
      </c>
      <c r="U16" s="13"/>
      <c r="V16" s="23"/>
      <c r="Y16" s="11"/>
      <c r="AM16" s="12"/>
      <c r="AV16" s="12"/>
      <c r="BE16" s="12"/>
      <c r="BN16" s="12"/>
      <c r="BW16" s="12"/>
      <c r="CF16" s="12"/>
    </row>
    <row r="17" spans="1:87">
      <c r="A17" s="581" t="s">
        <v>1535</v>
      </c>
      <c r="B17">
        <v>1</v>
      </c>
      <c r="C17">
        <v>0</v>
      </c>
      <c r="D17">
        <v>0</v>
      </c>
      <c r="E17">
        <v>0</v>
      </c>
      <c r="F17">
        <v>0</v>
      </c>
      <c r="G17">
        <v>0</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1.2879</v>
      </c>
      <c r="C18">
        <v>0.1115</v>
      </c>
      <c r="D18">
        <v>2.1753999999999998</v>
      </c>
      <c r="E18">
        <v>0.66439999999999999</v>
      </c>
      <c r="F18">
        <v>1.5793999999999999</v>
      </c>
      <c r="G18">
        <v>1.6682999999999999</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1.3416999999999999</v>
      </c>
      <c r="C19">
        <v>0.16</v>
      </c>
      <c r="D19">
        <v>2.5729000000000002</v>
      </c>
      <c r="E19">
        <v>0.77929999999999999</v>
      </c>
      <c r="F19">
        <v>1.4806999999999999</v>
      </c>
      <c r="G19">
        <v>1.7253000000000001</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1.3396999999999999</v>
      </c>
      <c r="C20">
        <v>0.16800000000000001</v>
      </c>
      <c r="D20">
        <v>3.7008000000000001</v>
      </c>
      <c r="E20">
        <v>0.45519999999999999</v>
      </c>
      <c r="F20">
        <v>1.4903</v>
      </c>
      <c r="G20">
        <v>1.4712000000000001</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1.3239000000000001</v>
      </c>
      <c r="C21">
        <v>0.16259999999999999</v>
      </c>
      <c r="D21">
        <v>3.8664000000000001</v>
      </c>
      <c r="E21">
        <v>0.50770000000000004</v>
      </c>
      <c r="F21">
        <v>1.4252</v>
      </c>
      <c r="G21">
        <v>1.3701000000000001</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1.3159000000000001</v>
      </c>
      <c r="C22">
        <v>0.30359999999999998</v>
      </c>
      <c r="D22">
        <v>8.2391000000000005</v>
      </c>
      <c r="E22">
        <v>0.84299999999999997</v>
      </c>
      <c r="F22">
        <v>1.2041999999999999</v>
      </c>
      <c r="G22">
        <v>1.1744000000000001</v>
      </c>
      <c r="K22" s="17"/>
      <c r="L22" s="17"/>
      <c r="M22" s="17"/>
      <c r="N22" s="17"/>
      <c r="O22" s="17"/>
      <c r="P22" s="17"/>
      <c r="U22" s="13"/>
      <c r="V22" s="23"/>
      <c r="Y22" s="11"/>
      <c r="AM22" s="12"/>
      <c r="AV22" s="12"/>
      <c r="BE22" s="12"/>
      <c r="BN22" s="12"/>
      <c r="BW22" s="12"/>
      <c r="CF22" s="12"/>
    </row>
    <row r="23" spans="1:87">
      <c r="A23" s="581" t="s">
        <v>1541</v>
      </c>
      <c r="B23">
        <v>1.2793000000000001</v>
      </c>
      <c r="C23">
        <v>0.11269999999999999</v>
      </c>
      <c r="D23">
        <v>1.9484999999999999</v>
      </c>
      <c r="E23">
        <v>0.49569999999999997</v>
      </c>
      <c r="F23">
        <v>1.5734999999999999</v>
      </c>
      <c r="G23">
        <v>1.6888000000000001</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1.4279999999999999</v>
      </c>
      <c r="C24">
        <v>0.158</v>
      </c>
      <c r="D24">
        <v>3.4188999999999998</v>
      </c>
      <c r="E24">
        <v>0.61529999999999996</v>
      </c>
      <c r="F24">
        <v>1.7342</v>
      </c>
      <c r="G24">
        <v>1.7172000000000001</v>
      </c>
      <c r="K24" s="17"/>
      <c r="L24" s="17"/>
      <c r="M24" s="17"/>
      <c r="N24" s="18"/>
      <c r="O24" s="18"/>
      <c r="P24" s="17"/>
      <c r="R24" s="11"/>
      <c r="U24" s="13"/>
      <c r="V24" s="23"/>
      <c r="Y24" s="11"/>
      <c r="AM24" s="12"/>
      <c r="AV24" s="12"/>
      <c r="BE24" s="12"/>
      <c r="BN24" s="12"/>
      <c r="BW24" s="12"/>
      <c r="CF24" s="12"/>
    </row>
    <row r="25" spans="1:87">
      <c r="A25" s="581" t="s">
        <v>1543</v>
      </c>
      <c r="B25">
        <v>1</v>
      </c>
      <c r="C25">
        <v>0</v>
      </c>
      <c r="D25">
        <v>0</v>
      </c>
      <c r="E25">
        <v>0</v>
      </c>
      <c r="F25">
        <v>0</v>
      </c>
      <c r="G25">
        <v>0</v>
      </c>
      <c r="K25" s="17"/>
      <c r="L25" s="17"/>
      <c r="M25" s="17"/>
      <c r="N25" s="18"/>
      <c r="O25" s="17"/>
      <c r="P25" s="17"/>
      <c r="U25" s="13"/>
      <c r="V25" s="23"/>
      <c r="Y25" s="11"/>
      <c r="AM25" s="12"/>
      <c r="AV25" s="12"/>
      <c r="BE25" s="12"/>
      <c r="BN25" s="12"/>
      <c r="BW25" s="12"/>
      <c r="CF25" s="12"/>
    </row>
    <row r="26" spans="1:87">
      <c r="A26" s="581" t="s">
        <v>1544</v>
      </c>
      <c r="B26">
        <v>1.3263</v>
      </c>
      <c r="C26">
        <v>0.1158</v>
      </c>
      <c r="D26">
        <v>1.5268999999999999</v>
      </c>
      <c r="E26">
        <v>0.54510000000000003</v>
      </c>
      <c r="F26">
        <v>1.8111999999999999</v>
      </c>
      <c r="G26">
        <v>2.4133</v>
      </c>
      <c r="Y26" s="11"/>
      <c r="AM26" s="12"/>
      <c r="AV26" s="12"/>
      <c r="BE26" s="12"/>
      <c r="BN26" s="12"/>
      <c r="BW26" s="12"/>
      <c r="CF26" s="12"/>
    </row>
    <row r="27" spans="1:87">
      <c r="A27" s="581" t="s">
        <v>1545</v>
      </c>
      <c r="B27">
        <v>1.3041</v>
      </c>
      <c r="C27">
        <v>0.13289999999999999</v>
      </c>
      <c r="D27">
        <v>2.6518999999999999</v>
      </c>
      <c r="E27">
        <v>0.5554</v>
      </c>
      <c r="F27">
        <v>1.5488999999999999</v>
      </c>
      <c r="G27">
        <v>1.5772999999999999</v>
      </c>
      <c r="M27" s="12"/>
      <c r="Y27" s="11"/>
      <c r="AM27" s="12"/>
      <c r="AV27" s="12"/>
    </row>
    <row r="28" spans="1:87">
      <c r="A28" s="581" t="s">
        <v>1546</v>
      </c>
      <c r="B28">
        <v>1.397</v>
      </c>
      <c r="C28">
        <v>0.1961</v>
      </c>
      <c r="D28">
        <v>3.2542</v>
      </c>
      <c r="E28">
        <v>0.89459999999999995</v>
      </c>
      <c r="F28">
        <v>1.5093000000000001</v>
      </c>
      <c r="G28">
        <v>1.7974000000000001</v>
      </c>
      <c r="M28" s="13"/>
      <c r="N28" s="12"/>
      <c r="O28" s="14"/>
      <c r="Q28" s="12"/>
      <c r="Y28" s="11"/>
      <c r="AM28" s="12"/>
      <c r="AV28" s="12"/>
      <c r="BE28" s="12"/>
      <c r="BN28" s="12"/>
      <c r="BW28" s="12"/>
      <c r="CF28" s="12"/>
    </row>
    <row r="29" spans="1:87">
      <c r="A29" s="581" t="s">
        <v>1547</v>
      </c>
      <c r="B29">
        <v>1.3980999999999999</v>
      </c>
      <c r="C29">
        <v>0.23119999999999999</v>
      </c>
      <c r="D29">
        <v>7.5331999999999999</v>
      </c>
      <c r="E29">
        <v>0.90680000000000005</v>
      </c>
      <c r="F29">
        <v>1.3593</v>
      </c>
      <c r="G29">
        <v>1.2405999999999999</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1.2012</v>
      </c>
      <c r="C30">
        <v>0.1013</v>
      </c>
      <c r="D30">
        <v>2.0325000000000002</v>
      </c>
      <c r="E30">
        <v>0.5504</v>
      </c>
      <c r="F30">
        <v>1.4948999999999999</v>
      </c>
      <c r="G30">
        <v>1.8368</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1.423</v>
      </c>
      <c r="C31">
        <v>0.1361</v>
      </c>
      <c r="D31">
        <v>2.3471000000000002</v>
      </c>
      <c r="E31">
        <v>0.66890000000000005</v>
      </c>
      <c r="F31">
        <v>1.9255</v>
      </c>
      <c r="G31">
        <v>2.5245000000000002</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v>
      </c>
      <c r="C32">
        <v>0</v>
      </c>
      <c r="D32">
        <v>0</v>
      </c>
      <c r="E32">
        <v>0</v>
      </c>
      <c r="F32">
        <v>0</v>
      </c>
      <c r="G32">
        <v>0</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1.3986000000000001</v>
      </c>
      <c r="C33">
        <v>0.1769</v>
      </c>
      <c r="D33">
        <v>4.0220000000000002</v>
      </c>
      <c r="E33">
        <v>0.70850000000000002</v>
      </c>
      <c r="F33">
        <v>1.6184000000000001</v>
      </c>
      <c r="G33">
        <v>1.6847000000000001</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1.3438000000000001</v>
      </c>
      <c r="C34">
        <v>0.35580000000000001</v>
      </c>
      <c r="D34">
        <v>10.738</v>
      </c>
      <c r="E34">
        <v>0.91310000000000002</v>
      </c>
      <c r="F34">
        <v>1.1778999999999999</v>
      </c>
      <c r="G34">
        <v>1.1451</v>
      </c>
      <c r="K34" s="17"/>
      <c r="L34" s="17"/>
      <c r="M34" s="17"/>
      <c r="N34" s="17"/>
      <c r="O34" s="17"/>
      <c r="P34" s="17"/>
      <c r="Y34" s="11"/>
      <c r="AM34" s="12"/>
      <c r="AV34" s="12"/>
      <c r="BE34" s="12"/>
      <c r="BN34" s="12"/>
      <c r="BW34" s="12"/>
      <c r="CF34" s="12"/>
    </row>
    <row r="35" spans="1:87">
      <c r="A35" s="581" t="s">
        <v>1553</v>
      </c>
      <c r="B35">
        <v>1.5389999999999999</v>
      </c>
      <c r="C35">
        <v>0.43830000000000002</v>
      </c>
      <c r="D35">
        <v>6.1386000000000003</v>
      </c>
      <c r="E35">
        <v>0.94169999999999998</v>
      </c>
      <c r="F35">
        <v>1.2456</v>
      </c>
      <c r="G35">
        <v>1.5248999999999999</v>
      </c>
      <c r="K35" s="17"/>
      <c r="L35" s="17"/>
      <c r="M35" s="17"/>
      <c r="N35" s="18"/>
      <c r="O35" s="18"/>
      <c r="P35" s="17"/>
      <c r="Y35" s="11"/>
      <c r="AM35" s="12"/>
      <c r="AP35" s="12"/>
      <c r="AV35" s="12"/>
      <c r="AY35" s="12"/>
      <c r="BE35" s="12"/>
      <c r="BH35" s="12"/>
      <c r="BN35" s="12"/>
      <c r="BQ35" s="12"/>
      <c r="BW35" s="12"/>
      <c r="BZ35" s="12"/>
      <c r="CF35" s="12"/>
      <c r="CI35" s="12"/>
    </row>
    <row r="36" spans="1:87">
      <c r="A36" s="581" t="s">
        <v>1554</v>
      </c>
      <c r="B36">
        <v>1.3134999999999999</v>
      </c>
      <c r="C36">
        <v>0.27339999999999998</v>
      </c>
      <c r="D36">
        <v>5.8582999999999998</v>
      </c>
      <c r="E36">
        <v>0.88639999999999997</v>
      </c>
      <c r="F36">
        <v>1.2306999999999999</v>
      </c>
      <c r="G36">
        <v>1.2869999999999999</v>
      </c>
      <c r="K36" s="17"/>
      <c r="L36" s="17"/>
      <c r="M36" s="17"/>
      <c r="N36" s="18"/>
      <c r="O36" s="18"/>
      <c r="P36" s="17"/>
      <c r="Y36" s="11"/>
      <c r="AM36" s="12"/>
      <c r="AV36" s="12"/>
      <c r="BE36" s="12"/>
      <c r="BN36" s="12"/>
      <c r="BW36" s="12"/>
      <c r="CF36" s="12"/>
    </row>
    <row r="37" spans="1:87">
      <c r="A37" s="581" t="s">
        <v>1555</v>
      </c>
      <c r="B37">
        <v>1.3819999999999999</v>
      </c>
      <c r="C37">
        <v>0.27700000000000002</v>
      </c>
      <c r="D37">
        <v>6.8977000000000004</v>
      </c>
      <c r="E37">
        <v>0.97070000000000001</v>
      </c>
      <c r="F37">
        <v>1.2844</v>
      </c>
      <c r="G37">
        <v>1.2924</v>
      </c>
      <c r="K37" s="17"/>
      <c r="L37" s="17"/>
      <c r="M37" s="17"/>
      <c r="N37" s="17"/>
      <c r="O37" s="17"/>
      <c r="P37" s="17"/>
      <c r="Y37" s="11"/>
    </row>
    <row r="38" spans="1:87">
      <c r="A38" s="581" t="s">
        <v>1556</v>
      </c>
      <c r="B38">
        <v>1.569</v>
      </c>
      <c r="C38">
        <v>0.18729999999999999</v>
      </c>
      <c r="D38">
        <v>3.6053999999999999</v>
      </c>
      <c r="E38">
        <v>0.81810000000000005</v>
      </c>
      <c r="F38">
        <v>1.9917</v>
      </c>
      <c r="G38">
        <v>2.3256000000000001</v>
      </c>
      <c r="Y38" s="11"/>
    </row>
    <row r="39" spans="1:87">
      <c r="A39" s="581" t="s">
        <v>1557</v>
      </c>
      <c r="B39">
        <v>1.3833</v>
      </c>
      <c r="C39">
        <v>0.17960000000000001</v>
      </c>
      <c r="D39">
        <v>4.4992000000000001</v>
      </c>
      <c r="E39">
        <v>0.80930000000000002</v>
      </c>
      <c r="F39">
        <v>1.5085999999999999</v>
      </c>
      <c r="G39">
        <v>1.4607000000000001</v>
      </c>
      <c r="Y39" s="11"/>
    </row>
    <row r="40" spans="1:87">
      <c r="A40" s="581" t="s">
        <v>1558</v>
      </c>
      <c r="B40">
        <v>1.5334000000000001</v>
      </c>
      <c r="C40">
        <v>0.2079</v>
      </c>
      <c r="D40">
        <v>2.8376999999999999</v>
      </c>
      <c r="E40">
        <v>0.6552</v>
      </c>
      <c r="F40">
        <v>1.6303000000000001</v>
      </c>
      <c r="G40">
        <v>2.3656999999999999</v>
      </c>
      <c r="N40" s="12"/>
      <c r="O40" s="14"/>
      <c r="Q40" s="12"/>
      <c r="Y40" s="11"/>
    </row>
    <row r="41" spans="1:87">
      <c r="A41" s="581" t="s">
        <v>1559</v>
      </c>
      <c r="B41">
        <v>1.4356</v>
      </c>
      <c r="C41">
        <v>0.12740000000000001</v>
      </c>
      <c r="D41">
        <v>2.1404000000000001</v>
      </c>
      <c r="E41">
        <v>0.82699999999999996</v>
      </c>
      <c r="F41">
        <v>1.8924000000000001</v>
      </c>
      <c r="G41">
        <v>2.3559000000000001</v>
      </c>
      <c r="N41" s="12"/>
      <c r="O41" s="14"/>
      <c r="Q41" s="12"/>
      <c r="Y41" s="11"/>
    </row>
    <row r="42" spans="1:87">
      <c r="A42" s="581" t="s">
        <v>1560</v>
      </c>
      <c r="B42">
        <v>1.4935</v>
      </c>
      <c r="C42">
        <v>0.15279999999999999</v>
      </c>
      <c r="D42">
        <v>2.7378999999999998</v>
      </c>
      <c r="E42">
        <v>0.78149999999999997</v>
      </c>
      <c r="F42">
        <v>2.0455999999999999</v>
      </c>
      <c r="G42">
        <v>2.8125</v>
      </c>
      <c r="Y42" s="11"/>
    </row>
    <row r="43" spans="1:87">
      <c r="A43" s="581" t="s">
        <v>1561</v>
      </c>
      <c r="B43">
        <v>1.5927</v>
      </c>
      <c r="C43">
        <v>0.1673</v>
      </c>
      <c r="D43">
        <v>3.1475</v>
      </c>
      <c r="E43">
        <v>0.89649999999999996</v>
      </c>
      <c r="F43">
        <v>2.0150999999999999</v>
      </c>
      <c r="G43">
        <v>2.3315000000000001</v>
      </c>
      <c r="Q43" s="12"/>
      <c r="Y43" s="11"/>
    </row>
    <row r="44" spans="1:87">
      <c r="A44" s="581" t="s">
        <v>1562</v>
      </c>
      <c r="B44">
        <v>1.8460000000000001</v>
      </c>
      <c r="C44">
        <v>0.24129999999999999</v>
      </c>
      <c r="D44">
        <v>4.6142000000000003</v>
      </c>
      <c r="E44">
        <v>0.83950000000000002</v>
      </c>
      <c r="F44">
        <v>2.0116000000000001</v>
      </c>
      <c r="G44">
        <v>2.2536999999999998</v>
      </c>
      <c r="Y44" s="11"/>
    </row>
    <row r="45" spans="1:87">
      <c r="A45" s="581" t="s">
        <v>1563</v>
      </c>
      <c r="B45">
        <v>1.4244000000000001</v>
      </c>
      <c r="C45">
        <v>0.1613</v>
      </c>
      <c r="D45">
        <v>2.7174</v>
      </c>
      <c r="E45">
        <v>0.9073</v>
      </c>
      <c r="F45">
        <v>1.5405</v>
      </c>
      <c r="G45">
        <v>1.7754000000000001</v>
      </c>
      <c r="Q45" s="12"/>
      <c r="Y45" s="11"/>
    </row>
    <row r="46" spans="1:87">
      <c r="A46" s="581" t="s">
        <v>1564</v>
      </c>
      <c r="B46">
        <v>2.0305</v>
      </c>
      <c r="C46">
        <v>0.1961</v>
      </c>
      <c r="D46">
        <v>6.2638999999999996</v>
      </c>
      <c r="E46">
        <v>0.91039999999999999</v>
      </c>
      <c r="F46">
        <v>3.1907000000000001</v>
      </c>
      <c r="G46">
        <v>1.7310000000000001</v>
      </c>
      <c r="Q46" s="16"/>
      <c r="Y46" s="11"/>
    </row>
    <row r="47" spans="1:87">
      <c r="A47" s="581" t="s">
        <v>1565</v>
      </c>
      <c r="B47">
        <v>1.3413999999999999</v>
      </c>
      <c r="C47">
        <v>7.2599999999999998E-2</v>
      </c>
      <c r="D47">
        <v>3.4106999999999998</v>
      </c>
      <c r="E47">
        <v>0.89810000000000001</v>
      </c>
      <c r="F47">
        <v>2.4523999999999999</v>
      </c>
      <c r="G47">
        <v>1.403</v>
      </c>
      <c r="Q47" s="16"/>
      <c r="Y47" s="11"/>
    </row>
    <row r="48" spans="1:87">
      <c r="A48" s="581" t="s">
        <v>1566</v>
      </c>
      <c r="B48">
        <v>1.4370000000000001</v>
      </c>
      <c r="C48">
        <v>0.1991</v>
      </c>
      <c r="D48">
        <v>3.3491</v>
      </c>
      <c r="E48">
        <v>0.99909999999999999</v>
      </c>
      <c r="F48">
        <v>1.5653999999999999</v>
      </c>
      <c r="G48">
        <v>1.8265</v>
      </c>
      <c r="Y48" s="11"/>
    </row>
    <row r="49" spans="1:25">
      <c r="A49" s="581" t="s">
        <v>1567</v>
      </c>
      <c r="B49">
        <v>1.4591000000000001</v>
      </c>
      <c r="C49">
        <v>0.27629999999999999</v>
      </c>
      <c r="D49">
        <v>4.7027000000000001</v>
      </c>
      <c r="E49">
        <v>0.999</v>
      </c>
      <c r="F49">
        <v>1.3689</v>
      </c>
      <c r="G49">
        <v>1.6146</v>
      </c>
      <c r="Y49" s="11"/>
    </row>
    <row r="50" spans="1:25">
      <c r="A50" s="581" t="s">
        <v>1568</v>
      </c>
      <c r="B50">
        <v>1.5753999999999999</v>
      </c>
      <c r="C50">
        <v>0.38369999999999999</v>
      </c>
      <c r="D50">
        <v>4.7995000000000001</v>
      </c>
      <c r="E50">
        <v>0.99299999999999999</v>
      </c>
      <c r="F50">
        <v>1.2998000000000001</v>
      </c>
      <c r="G50">
        <v>1.7534000000000001</v>
      </c>
      <c r="Y50" s="11"/>
    </row>
    <row r="51" spans="1:25">
      <c r="A51" s="581" t="s">
        <v>1569</v>
      </c>
      <c r="B51">
        <v>1.4845999999999999</v>
      </c>
      <c r="C51">
        <v>0.3468</v>
      </c>
      <c r="D51">
        <v>12.049099999999999</v>
      </c>
      <c r="E51">
        <v>0.96830000000000005</v>
      </c>
      <c r="F51">
        <v>1.2888999999999999</v>
      </c>
      <c r="G51">
        <v>1.1901999999999999</v>
      </c>
      <c r="Y51" s="11"/>
    </row>
    <row r="52" spans="1:25">
      <c r="A52" s="581" t="s">
        <v>1570</v>
      </c>
      <c r="B52">
        <v>1.546</v>
      </c>
      <c r="C52">
        <v>0.29260000000000003</v>
      </c>
      <c r="D52">
        <v>5.2907999999999999</v>
      </c>
      <c r="E52">
        <v>0.84309999999999996</v>
      </c>
      <c r="F52">
        <v>1.4628000000000001</v>
      </c>
      <c r="G52">
        <v>1.6389</v>
      </c>
      <c r="Y52" s="11"/>
    </row>
    <row r="53" spans="1:25">
      <c r="A53" s="581" t="s">
        <v>1571</v>
      </c>
      <c r="B53">
        <v>1.4915</v>
      </c>
      <c r="C53">
        <v>0.37319999999999998</v>
      </c>
      <c r="D53">
        <v>11.985900000000001</v>
      </c>
      <c r="E53">
        <v>0.95709999999999995</v>
      </c>
      <c r="F53">
        <v>1.2355</v>
      </c>
      <c r="G53">
        <v>1.1809000000000001</v>
      </c>
      <c r="K53" s="17"/>
      <c r="N53" s="17"/>
      <c r="O53" s="17"/>
      <c r="P53" s="17"/>
      <c r="Y53" s="11"/>
    </row>
    <row r="54" spans="1:25">
      <c r="A54" s="581" t="s">
        <v>1572</v>
      </c>
      <c r="B54">
        <v>1.5038</v>
      </c>
      <c r="C54">
        <v>0.39389999999999997</v>
      </c>
      <c r="D54">
        <v>7.0744999999999996</v>
      </c>
      <c r="E54">
        <v>0.998</v>
      </c>
      <c r="F54">
        <v>1.2609999999999999</v>
      </c>
      <c r="G54">
        <v>1.3943000000000001</v>
      </c>
      <c r="K54" s="17"/>
      <c r="N54" s="12"/>
      <c r="O54" s="12"/>
      <c r="Y54" s="11"/>
    </row>
    <row r="55" spans="1:25">
      <c r="A55" s="581" t="s">
        <v>1573</v>
      </c>
      <c r="B55">
        <v>1.556</v>
      </c>
      <c r="C55">
        <v>0.31219999999999998</v>
      </c>
      <c r="D55">
        <v>6.0576999999999996</v>
      </c>
      <c r="E55">
        <v>0.88119999999999998</v>
      </c>
      <c r="F55">
        <v>1.3683000000000001</v>
      </c>
      <c r="G55">
        <v>1.4991000000000001</v>
      </c>
      <c r="K55" s="17"/>
      <c r="N55" s="12"/>
      <c r="O55" s="12"/>
      <c r="Y55" s="11"/>
    </row>
    <row r="56" spans="1:25">
      <c r="A56" s="581" t="s">
        <v>1574</v>
      </c>
      <c r="B56">
        <v>1.5037</v>
      </c>
      <c r="C56">
        <v>0.41299999999999998</v>
      </c>
      <c r="D56">
        <v>12.949299999999999</v>
      </c>
      <c r="E56">
        <v>0.98829999999999996</v>
      </c>
      <c r="F56">
        <v>1.2291000000000001</v>
      </c>
      <c r="G56">
        <v>1.1800999999999999</v>
      </c>
      <c r="K56" s="17"/>
      <c r="Y56" s="11"/>
    </row>
    <row r="57" spans="1:25">
      <c r="A57" s="581" t="s">
        <v>1575</v>
      </c>
      <c r="B57">
        <v>1.5874999999999999</v>
      </c>
      <c r="C57">
        <v>0.44</v>
      </c>
      <c r="D57">
        <v>18.0932</v>
      </c>
      <c r="E57">
        <v>0.99470000000000003</v>
      </c>
      <c r="F57">
        <v>1.2543</v>
      </c>
      <c r="G57">
        <v>1.1414</v>
      </c>
      <c r="Y57" s="11"/>
    </row>
    <row r="58" spans="1:25">
      <c r="A58" s="581" t="s">
        <v>1576</v>
      </c>
      <c r="B58">
        <v>1.5620000000000001</v>
      </c>
      <c r="C58">
        <v>0.39419999999999999</v>
      </c>
      <c r="D58">
        <v>13.3703</v>
      </c>
      <c r="E58">
        <v>0.94350000000000001</v>
      </c>
      <c r="F58">
        <v>1.2903</v>
      </c>
      <c r="G58">
        <v>1.2081999999999999</v>
      </c>
      <c r="Y58" s="11"/>
    </row>
    <row r="59" spans="1:25">
      <c r="A59" s="581" t="s">
        <v>1577</v>
      </c>
      <c r="B59">
        <v>1.3817999999999999</v>
      </c>
      <c r="C59">
        <v>0.23019999999999999</v>
      </c>
      <c r="D59">
        <v>11.2462</v>
      </c>
      <c r="E59">
        <v>0.88329999999999997</v>
      </c>
      <c r="F59">
        <v>1.3312999999999999</v>
      </c>
      <c r="G59">
        <v>1.1375999999999999</v>
      </c>
      <c r="N59" s="12"/>
      <c r="O59" s="14"/>
      <c r="Q59" s="12"/>
      <c r="Y59" s="11"/>
    </row>
    <row r="60" spans="1:25">
      <c r="A60" s="581" t="s">
        <v>1578</v>
      </c>
      <c r="B60">
        <v>1.5213000000000001</v>
      </c>
      <c r="C60">
        <v>0.2331</v>
      </c>
      <c r="D60">
        <v>6.2697000000000003</v>
      </c>
      <c r="E60">
        <v>0.86060000000000003</v>
      </c>
      <c r="F60">
        <v>1.6064000000000001</v>
      </c>
      <c r="G60">
        <v>1.4486000000000001</v>
      </c>
      <c r="N60" s="12"/>
      <c r="O60" s="14"/>
      <c r="Q60" s="12"/>
      <c r="Y60" s="11"/>
    </row>
    <row r="61" spans="1:25">
      <c r="A61" s="581" t="s">
        <v>1579</v>
      </c>
      <c r="B61">
        <v>1.4375</v>
      </c>
      <c r="C61">
        <v>0.29110000000000003</v>
      </c>
      <c r="D61">
        <v>13.22</v>
      </c>
      <c r="E61">
        <v>0.80720000000000003</v>
      </c>
      <c r="F61">
        <v>1.3042</v>
      </c>
      <c r="G61">
        <v>1.1362000000000001</v>
      </c>
      <c r="Y61" s="11"/>
    </row>
    <row r="62" spans="1:25">
      <c r="A62" s="581" t="s">
        <v>1580</v>
      </c>
      <c r="B62">
        <v>1.6032999999999999</v>
      </c>
      <c r="C62">
        <v>0.3135</v>
      </c>
      <c r="D62">
        <v>7.9093</v>
      </c>
      <c r="E62">
        <v>0.91059999999999997</v>
      </c>
      <c r="F62">
        <v>1.4034</v>
      </c>
      <c r="G62">
        <v>1.3797999999999999</v>
      </c>
      <c r="Q62" s="12"/>
      <c r="Y62" s="11"/>
    </row>
    <row r="63" spans="1:25">
      <c r="A63" s="581" t="s">
        <v>1581</v>
      </c>
      <c r="B63">
        <v>0.76190000000000002</v>
      </c>
      <c r="C63">
        <v>0.1193</v>
      </c>
      <c r="D63">
        <v>3.2932000000000001</v>
      </c>
      <c r="E63">
        <v>0.46899999999999997</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sheetPr codeName="Sheet36">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1.5823</v>
      </c>
      <c r="C2">
        <v>0.32369999999999999</v>
      </c>
      <c r="D2">
        <v>15.5098</v>
      </c>
      <c r="E2">
        <v>0.71940000000000004</v>
      </c>
      <c r="F2">
        <v>1.3070999999999999</v>
      </c>
      <c r="G2">
        <v>1.1652</v>
      </c>
    </row>
    <row r="3" spans="1:87">
      <c r="A3" s="581" t="s">
        <v>1521</v>
      </c>
      <c r="B3">
        <v>1.5706</v>
      </c>
      <c r="C3">
        <v>0.50519999999999998</v>
      </c>
      <c r="D3">
        <v>24.134699999999999</v>
      </c>
      <c r="E3">
        <v>0.94289999999999996</v>
      </c>
      <c r="F3">
        <v>1.1859</v>
      </c>
      <c r="G3">
        <v>1.0996999999999999</v>
      </c>
    </row>
    <row r="4" spans="1:87">
      <c r="A4" s="581" t="s">
        <v>1522</v>
      </c>
      <c r="B4">
        <v>1.4565999999999999</v>
      </c>
      <c r="C4">
        <v>0.20960000000000001</v>
      </c>
      <c r="D4">
        <v>7.1177000000000001</v>
      </c>
      <c r="E4">
        <v>0.90110000000000001</v>
      </c>
      <c r="F4">
        <v>1.4197</v>
      </c>
      <c r="G4">
        <v>1.2344999999999999</v>
      </c>
      <c r="N4" s="17"/>
      <c r="U4" s="21"/>
      <c r="X4" s="21"/>
    </row>
    <row r="5" spans="1:87">
      <c r="A5" s="581" t="s">
        <v>1523</v>
      </c>
      <c r="B5">
        <v>1.3325</v>
      </c>
      <c r="C5">
        <v>0.14530000000000001</v>
      </c>
      <c r="D5">
        <v>2.8062</v>
      </c>
      <c r="E5">
        <v>0.76749999999999996</v>
      </c>
      <c r="F5">
        <v>1.4279999999999999</v>
      </c>
      <c r="G5">
        <v>1.5277000000000001</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1.7745</v>
      </c>
      <c r="C6">
        <v>0.20710000000000001</v>
      </c>
      <c r="D6">
        <v>4.6165000000000003</v>
      </c>
      <c r="E6">
        <v>0.85050000000000003</v>
      </c>
      <c r="F6">
        <v>1.9563999999999999</v>
      </c>
      <c r="G6">
        <v>1.8654999999999999</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1.2223999999999999</v>
      </c>
      <c r="C7">
        <v>0.11409999999999999</v>
      </c>
      <c r="D7">
        <v>1.5176000000000001</v>
      </c>
      <c r="E7">
        <v>0.8256</v>
      </c>
      <c r="F7">
        <v>1.4823999999999999</v>
      </c>
      <c r="G7">
        <v>2.0347</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1.6929000000000001</v>
      </c>
      <c r="C8">
        <v>0.27039999999999997</v>
      </c>
      <c r="D8">
        <v>5.5922000000000001</v>
      </c>
      <c r="E8">
        <v>0.90720000000000001</v>
      </c>
      <c r="F8">
        <v>1.5116000000000001</v>
      </c>
      <c r="G8">
        <v>1.6241000000000001</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1.6819</v>
      </c>
      <c r="C9">
        <v>0.23469999999999999</v>
      </c>
      <c r="D9">
        <v>5.9012000000000002</v>
      </c>
      <c r="E9">
        <v>0.72809999999999997</v>
      </c>
      <c r="F9">
        <v>1.6488</v>
      </c>
      <c r="G9">
        <v>1.5575000000000001</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1.6454</v>
      </c>
      <c r="C10">
        <v>0.23369999999999999</v>
      </c>
      <c r="D10">
        <v>4.8620000000000001</v>
      </c>
      <c r="E10">
        <v>0.74739999999999995</v>
      </c>
      <c r="F10">
        <v>1.5664</v>
      </c>
      <c r="G10">
        <v>1.6225000000000001</v>
      </c>
      <c r="U10" s="13"/>
      <c r="V10" s="23"/>
      <c r="W10" s="26"/>
      <c r="Y10" s="11"/>
      <c r="AM10" s="12"/>
      <c r="AV10" s="12"/>
      <c r="BE10" s="12"/>
      <c r="BN10" s="12"/>
      <c r="BW10" s="12"/>
      <c r="CF10" s="12"/>
    </row>
    <row r="11" spans="1:87">
      <c r="A11" s="581" t="s">
        <v>1529</v>
      </c>
      <c r="B11">
        <v>1.7242</v>
      </c>
      <c r="C11">
        <v>0.16</v>
      </c>
      <c r="D11">
        <v>3.6556999999999999</v>
      </c>
      <c r="E11">
        <v>0.5514</v>
      </c>
      <c r="F11">
        <v>2.1553</v>
      </c>
      <c r="G11">
        <v>2.0581999999999998</v>
      </c>
      <c r="U11" s="13"/>
      <c r="V11" s="23"/>
      <c r="Y11" s="11"/>
      <c r="AM11" s="12"/>
      <c r="AP11" s="12"/>
      <c r="AV11" s="12"/>
      <c r="AY11" s="12"/>
      <c r="BE11" s="12"/>
      <c r="BH11" s="12"/>
      <c r="BN11" s="12"/>
      <c r="BQ11" s="12"/>
      <c r="BW11" s="12"/>
      <c r="BZ11" s="12"/>
      <c r="CF11" s="12"/>
      <c r="CI11" s="12"/>
    </row>
    <row r="12" spans="1:87">
      <c r="A12" s="581" t="s">
        <v>1530</v>
      </c>
      <c r="B12">
        <v>1.7224999999999999</v>
      </c>
      <c r="C12">
        <v>0.19339999999999999</v>
      </c>
      <c r="D12">
        <v>3.8170000000000002</v>
      </c>
      <c r="E12">
        <v>0.79900000000000004</v>
      </c>
      <c r="F12">
        <v>1.8141</v>
      </c>
      <c r="G12">
        <v>2.0274000000000001</v>
      </c>
      <c r="N12" s="15"/>
      <c r="U12" s="13"/>
      <c r="V12" s="23"/>
      <c r="Y12" s="11"/>
      <c r="AM12" s="12"/>
      <c r="AV12" s="12"/>
      <c r="BE12" s="12"/>
      <c r="BN12" s="12"/>
      <c r="BW12" s="12"/>
      <c r="CF12" s="12"/>
    </row>
    <row r="13" spans="1:87">
      <c r="A13" s="581" t="s">
        <v>1531</v>
      </c>
      <c r="B13">
        <v>1.6916</v>
      </c>
      <c r="C13">
        <v>0.2303</v>
      </c>
      <c r="D13">
        <v>3.8309000000000002</v>
      </c>
      <c r="E13">
        <v>0.8357</v>
      </c>
      <c r="F13">
        <v>1.6229</v>
      </c>
      <c r="G13">
        <v>1.9926999999999999</v>
      </c>
      <c r="N13" s="16"/>
      <c r="U13" s="13"/>
      <c r="V13" s="23"/>
      <c r="Y13" s="11"/>
      <c r="AM13" s="12"/>
      <c r="AV13" s="12"/>
      <c r="BE13" s="12"/>
      <c r="BN13" s="12"/>
      <c r="BW13" s="12"/>
      <c r="CF13" s="12"/>
    </row>
    <row r="14" spans="1:87">
      <c r="A14" s="581" t="s">
        <v>1532</v>
      </c>
      <c r="B14">
        <v>1.4581999999999999</v>
      </c>
      <c r="C14">
        <v>0.15440000000000001</v>
      </c>
      <c r="D14">
        <v>2.4601000000000002</v>
      </c>
      <c r="E14">
        <v>0.97750000000000004</v>
      </c>
      <c r="F14">
        <v>1.6468</v>
      </c>
      <c r="G14">
        <v>2.0314000000000001</v>
      </c>
      <c r="N14" s="16"/>
      <c r="U14" s="13"/>
      <c r="V14" s="23"/>
      <c r="Y14" s="11"/>
      <c r="AM14" s="12"/>
      <c r="AV14" s="12"/>
      <c r="BE14" s="12"/>
      <c r="BN14" s="12"/>
      <c r="BW14" s="12"/>
      <c r="CF14" s="12"/>
    </row>
    <row r="15" spans="1:87">
      <c r="A15" s="581" t="s">
        <v>1533</v>
      </c>
      <c r="B15">
        <v>1.6691</v>
      </c>
      <c r="C15">
        <v>0.1484</v>
      </c>
      <c r="D15">
        <v>2.7919</v>
      </c>
      <c r="E15">
        <v>0.75560000000000005</v>
      </c>
      <c r="F15">
        <v>2.2378999999999998</v>
      </c>
      <c r="G15">
        <v>2.5230000000000001</v>
      </c>
      <c r="N15" s="15"/>
      <c r="U15" s="13"/>
      <c r="V15" s="23"/>
      <c r="Y15" s="11"/>
      <c r="AM15" s="12"/>
      <c r="AV15" s="12"/>
    </row>
    <row r="16" spans="1:87">
      <c r="A16" s="581" t="s">
        <v>1534</v>
      </c>
      <c r="B16">
        <v>1.7667999999999999</v>
      </c>
      <c r="C16">
        <v>0.15060000000000001</v>
      </c>
      <c r="D16">
        <v>3.4361999999999999</v>
      </c>
      <c r="E16">
        <v>0.55149999999999999</v>
      </c>
      <c r="F16">
        <v>2.6499000000000001</v>
      </c>
      <c r="G16">
        <v>2.2623000000000002</v>
      </c>
      <c r="U16" s="13"/>
      <c r="V16" s="23"/>
      <c r="Y16" s="11"/>
      <c r="AM16" s="12"/>
      <c r="AV16" s="12"/>
      <c r="BE16" s="12"/>
      <c r="BN16" s="12"/>
      <c r="BW16" s="12"/>
      <c r="CF16" s="12"/>
    </row>
    <row r="17" spans="1:87">
      <c r="A17" s="581" t="s">
        <v>1535</v>
      </c>
      <c r="B17">
        <v>1</v>
      </c>
      <c r="C17">
        <v>0</v>
      </c>
      <c r="D17">
        <v>0</v>
      </c>
      <c r="E17">
        <v>0</v>
      </c>
      <c r="F17">
        <v>0</v>
      </c>
      <c r="G17">
        <v>0</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1.6480999999999999</v>
      </c>
      <c r="C18">
        <v>0.2127</v>
      </c>
      <c r="D18">
        <v>4.2659000000000002</v>
      </c>
      <c r="E18">
        <v>0.85</v>
      </c>
      <c r="F18">
        <v>1.6131</v>
      </c>
      <c r="G18">
        <v>1.7508999999999999</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1.5716000000000001</v>
      </c>
      <c r="C19">
        <v>0.16650000000000001</v>
      </c>
      <c r="D19">
        <v>2.8441000000000001</v>
      </c>
      <c r="E19">
        <v>0.89859999999999995</v>
      </c>
      <c r="F19">
        <v>1.7458</v>
      </c>
      <c r="G19">
        <v>2.1606999999999998</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1.5965</v>
      </c>
      <c r="C20">
        <v>0.1171</v>
      </c>
      <c r="D20">
        <v>2.5185</v>
      </c>
      <c r="E20">
        <v>0.56530000000000002</v>
      </c>
      <c r="F20">
        <v>2.4384999999999999</v>
      </c>
      <c r="G20">
        <v>2.3502000000000001</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1.4311</v>
      </c>
      <c r="C21">
        <v>0.1825</v>
      </c>
      <c r="D21">
        <v>4.4272999999999998</v>
      </c>
      <c r="E21">
        <v>0.55500000000000005</v>
      </c>
      <c r="F21">
        <v>1.4525999999999999</v>
      </c>
      <c r="G21">
        <v>1.425</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1.329</v>
      </c>
      <c r="C22">
        <v>0.19989999999999999</v>
      </c>
      <c r="D22">
        <v>5.4268000000000001</v>
      </c>
      <c r="E22">
        <v>0.83940000000000003</v>
      </c>
      <c r="F22">
        <v>1.2986</v>
      </c>
      <c r="G22">
        <v>1.2673000000000001</v>
      </c>
      <c r="K22" s="17"/>
      <c r="L22" s="17"/>
      <c r="M22" s="17"/>
      <c r="N22" s="17"/>
      <c r="O22" s="17"/>
      <c r="P22" s="17"/>
      <c r="U22" s="13"/>
      <c r="V22" s="23"/>
      <c r="Y22" s="11"/>
      <c r="AM22" s="12"/>
      <c r="AV22" s="12"/>
      <c r="BE22" s="12"/>
      <c r="BN22" s="12"/>
      <c r="BW22" s="12"/>
      <c r="CF22" s="12"/>
    </row>
    <row r="23" spans="1:87">
      <c r="A23" s="581" t="s">
        <v>1541</v>
      </c>
      <c r="B23">
        <v>1.6483000000000001</v>
      </c>
      <c r="C23">
        <v>0.17649999999999999</v>
      </c>
      <c r="D23">
        <v>3.2118000000000002</v>
      </c>
      <c r="E23">
        <v>0.67800000000000005</v>
      </c>
      <c r="F23">
        <v>1.8103</v>
      </c>
      <c r="G23">
        <v>2.0453000000000001</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1.8891</v>
      </c>
      <c r="C24">
        <v>0.23619999999999999</v>
      </c>
      <c r="D24">
        <v>5.1719999999999997</v>
      </c>
      <c r="E24">
        <v>0.84409999999999996</v>
      </c>
      <c r="F24">
        <v>1.9171</v>
      </c>
      <c r="G24">
        <v>1.9200999999999999</v>
      </c>
      <c r="K24" s="17"/>
      <c r="L24" s="17"/>
      <c r="M24" s="17"/>
      <c r="N24" s="18"/>
      <c r="O24" s="18"/>
      <c r="P24" s="17"/>
      <c r="R24" s="11"/>
      <c r="U24" s="13"/>
      <c r="V24" s="23"/>
      <c r="Y24" s="11"/>
      <c r="AM24" s="12"/>
      <c r="AV24" s="12"/>
      <c r="BE24" s="12"/>
      <c r="BN24" s="12"/>
      <c r="BW24" s="12"/>
      <c r="CF24" s="12"/>
    </row>
    <row r="25" spans="1:87">
      <c r="A25" s="581" t="s">
        <v>1543</v>
      </c>
      <c r="B25">
        <v>1.2030000000000001</v>
      </c>
      <c r="C25">
        <v>6.5699999999999995E-2</v>
      </c>
      <c r="D25">
        <v>0.82730000000000004</v>
      </c>
      <c r="E25">
        <v>0.3609</v>
      </c>
      <c r="F25">
        <v>1.4706999999999999</v>
      </c>
      <c r="G25">
        <v>2.0055000000000001</v>
      </c>
      <c r="K25" s="17"/>
      <c r="L25" s="17"/>
      <c r="M25" s="17"/>
      <c r="N25" s="18"/>
      <c r="O25" s="17"/>
      <c r="P25" s="17"/>
      <c r="U25" s="13"/>
      <c r="V25" s="23"/>
      <c r="Y25" s="11"/>
      <c r="AM25" s="12"/>
      <c r="AV25" s="12"/>
      <c r="BE25" s="12"/>
      <c r="BN25" s="12"/>
      <c r="BW25" s="12"/>
      <c r="CF25" s="12"/>
    </row>
    <row r="26" spans="1:87">
      <c r="A26" s="581" t="s">
        <v>1544</v>
      </c>
      <c r="B26">
        <v>1.7613000000000001</v>
      </c>
      <c r="C26">
        <v>0.14560000000000001</v>
      </c>
      <c r="D26">
        <v>2.1337999999999999</v>
      </c>
      <c r="E26">
        <v>0.74050000000000005</v>
      </c>
      <c r="F26">
        <v>2.3111000000000002</v>
      </c>
      <c r="G26">
        <v>3.423</v>
      </c>
      <c r="Y26" s="11"/>
      <c r="AM26" s="12"/>
      <c r="AV26" s="12"/>
      <c r="BE26" s="12"/>
      <c r="BN26" s="12"/>
      <c r="BW26" s="12"/>
      <c r="CF26" s="12"/>
    </row>
    <row r="27" spans="1:87">
      <c r="A27" s="581" t="s">
        <v>1545</v>
      </c>
      <c r="B27">
        <v>1.8126</v>
      </c>
      <c r="C27">
        <v>0.15390000000000001</v>
      </c>
      <c r="D27">
        <v>2.9893000000000001</v>
      </c>
      <c r="E27">
        <v>0.77739999999999998</v>
      </c>
      <c r="F27">
        <v>2.2858000000000001</v>
      </c>
      <c r="G27">
        <v>2.2654999999999998</v>
      </c>
      <c r="M27" s="12"/>
      <c r="Y27" s="11"/>
      <c r="AM27" s="12"/>
      <c r="AV27" s="12"/>
    </row>
    <row r="28" spans="1:87">
      <c r="A28" s="581" t="s">
        <v>1546</v>
      </c>
      <c r="B28">
        <v>1.5686</v>
      </c>
      <c r="C28">
        <v>0.21210000000000001</v>
      </c>
      <c r="D28">
        <v>3.7239</v>
      </c>
      <c r="E28">
        <v>0.99109999999999998</v>
      </c>
      <c r="F28">
        <v>1.6049</v>
      </c>
      <c r="G28">
        <v>2.0217999999999998</v>
      </c>
      <c r="M28" s="13"/>
      <c r="N28" s="12"/>
      <c r="O28" s="14"/>
      <c r="Q28" s="12"/>
      <c r="Y28" s="11"/>
      <c r="AM28" s="12"/>
      <c r="AV28" s="12"/>
      <c r="BE28" s="12"/>
      <c r="BN28" s="12"/>
      <c r="BW28" s="12"/>
      <c r="CF28" s="12"/>
    </row>
    <row r="29" spans="1:87">
      <c r="A29" s="581" t="s">
        <v>1547</v>
      </c>
      <c r="B29">
        <v>1.5605</v>
      </c>
      <c r="C29">
        <v>0.23760000000000001</v>
      </c>
      <c r="D29">
        <v>7.7331000000000003</v>
      </c>
      <c r="E29">
        <v>0.99980000000000002</v>
      </c>
      <c r="F29">
        <v>1.4617</v>
      </c>
      <c r="G29">
        <v>1.3324</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1.6748000000000001</v>
      </c>
      <c r="C30">
        <v>0.19719999999999999</v>
      </c>
      <c r="D30">
        <v>3.8626</v>
      </c>
      <c r="E30">
        <v>0.77729999999999999</v>
      </c>
      <c r="F30">
        <v>1.7623</v>
      </c>
      <c r="G30">
        <v>2.1149</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1.7511000000000001</v>
      </c>
      <c r="C31">
        <v>0.14000000000000001</v>
      </c>
      <c r="D31">
        <v>2.5565000000000002</v>
      </c>
      <c r="E31">
        <v>0.82340000000000002</v>
      </c>
      <c r="F31">
        <v>2.8753000000000002</v>
      </c>
      <c r="G31">
        <v>3.9910999999999999</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1.5649</v>
      </c>
      <c r="C32">
        <v>0.1411</v>
      </c>
      <c r="D32">
        <v>2.4375</v>
      </c>
      <c r="E32">
        <v>0.70920000000000005</v>
      </c>
      <c r="F32">
        <v>2.0977000000000001</v>
      </c>
      <c r="G32">
        <v>3.1179999999999999</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1.7932999999999999</v>
      </c>
      <c r="C33">
        <v>0.2319</v>
      </c>
      <c r="D33">
        <v>5.2884000000000002</v>
      </c>
      <c r="E33">
        <v>0.88939999999999997</v>
      </c>
      <c r="F33">
        <v>1.7972999999999999</v>
      </c>
      <c r="G33">
        <v>1.8765000000000001</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1.5904</v>
      </c>
      <c r="C34">
        <v>0.37840000000000001</v>
      </c>
      <c r="D34">
        <v>11.293699999999999</v>
      </c>
      <c r="E34">
        <v>1.0190999999999999</v>
      </c>
      <c r="F34">
        <v>1.2332000000000001</v>
      </c>
      <c r="G34">
        <v>1.1856</v>
      </c>
      <c r="K34" s="17"/>
      <c r="L34" s="17"/>
      <c r="M34" s="17"/>
      <c r="N34" s="17"/>
      <c r="O34" s="17"/>
      <c r="P34" s="17"/>
      <c r="Y34" s="11"/>
      <c r="AM34" s="12"/>
      <c r="AV34" s="12"/>
      <c r="BE34" s="12"/>
      <c r="BN34" s="12"/>
      <c r="BW34" s="12"/>
      <c r="CF34" s="12"/>
    </row>
    <row r="35" spans="1:87">
      <c r="A35" s="581" t="s">
        <v>1553</v>
      </c>
      <c r="B35">
        <v>1.6911</v>
      </c>
      <c r="C35">
        <v>0.4123</v>
      </c>
      <c r="D35">
        <v>6.0677000000000003</v>
      </c>
      <c r="E35">
        <v>1.0177</v>
      </c>
      <c r="F35">
        <v>1.3125</v>
      </c>
      <c r="G35">
        <v>1.6887000000000001</v>
      </c>
      <c r="K35" s="17"/>
      <c r="L35" s="17"/>
      <c r="M35" s="17"/>
      <c r="N35" s="18"/>
      <c r="O35" s="18"/>
      <c r="P35" s="17"/>
      <c r="Y35" s="11"/>
      <c r="AM35" s="12"/>
      <c r="AP35" s="12"/>
      <c r="AV35" s="12"/>
      <c r="AY35" s="12"/>
      <c r="BE35" s="12"/>
      <c r="BH35" s="12"/>
      <c r="BN35" s="12"/>
      <c r="BQ35" s="12"/>
      <c r="BW35" s="12"/>
      <c r="BZ35" s="12"/>
      <c r="CF35" s="12"/>
      <c r="CI35" s="12"/>
    </row>
    <row r="36" spans="1:87">
      <c r="A36" s="581" t="s">
        <v>1554</v>
      </c>
      <c r="B36">
        <v>1.6013999999999999</v>
      </c>
      <c r="C36">
        <v>0.30059999999999998</v>
      </c>
      <c r="D36">
        <v>6.5174000000000003</v>
      </c>
      <c r="E36">
        <v>1.0282</v>
      </c>
      <c r="F36">
        <v>1.3676999999999999</v>
      </c>
      <c r="G36">
        <v>1.4473</v>
      </c>
      <c r="K36" s="17"/>
      <c r="L36" s="17"/>
      <c r="M36" s="17"/>
      <c r="N36" s="18"/>
      <c r="O36" s="18"/>
      <c r="P36" s="17"/>
      <c r="Y36" s="11"/>
      <c r="AM36" s="12"/>
      <c r="AV36" s="12"/>
      <c r="BE36" s="12"/>
      <c r="BN36" s="12"/>
      <c r="BW36" s="12"/>
      <c r="CF36" s="12"/>
    </row>
    <row r="37" spans="1:87">
      <c r="A37" s="581" t="s">
        <v>1555</v>
      </c>
      <c r="B37">
        <v>1.5618000000000001</v>
      </c>
      <c r="C37">
        <v>0.29959999999999998</v>
      </c>
      <c r="D37">
        <v>7.5964</v>
      </c>
      <c r="E37">
        <v>1.0736000000000001</v>
      </c>
      <c r="F37">
        <v>1.3589</v>
      </c>
      <c r="G37">
        <v>1.3924000000000001</v>
      </c>
      <c r="K37" s="17"/>
      <c r="L37" s="17"/>
      <c r="M37" s="17"/>
      <c r="N37" s="17"/>
      <c r="O37" s="17"/>
      <c r="P37" s="17"/>
      <c r="Y37" s="11"/>
    </row>
    <row r="38" spans="1:87">
      <c r="A38" s="581" t="s">
        <v>1556</v>
      </c>
      <c r="B38">
        <v>1.6389</v>
      </c>
      <c r="C38">
        <v>0.20419999999999999</v>
      </c>
      <c r="D38">
        <v>4.0460000000000003</v>
      </c>
      <c r="E38">
        <v>0.85370000000000001</v>
      </c>
      <c r="F38">
        <v>1.7744</v>
      </c>
      <c r="G38">
        <v>2.133</v>
      </c>
      <c r="Y38" s="11"/>
    </row>
    <row r="39" spans="1:87">
      <c r="A39" s="581" t="s">
        <v>1557</v>
      </c>
      <c r="B39">
        <v>1.5187999999999999</v>
      </c>
      <c r="C39">
        <v>0.23669999999999999</v>
      </c>
      <c r="D39">
        <v>6.1242000000000001</v>
      </c>
      <c r="E39">
        <v>0.89100000000000001</v>
      </c>
      <c r="F39">
        <v>1.4378</v>
      </c>
      <c r="G39">
        <v>1.4378</v>
      </c>
      <c r="Y39" s="11"/>
    </row>
    <row r="40" spans="1:87">
      <c r="A40" s="581" t="s">
        <v>1558</v>
      </c>
      <c r="B40">
        <v>1.5048999999999999</v>
      </c>
      <c r="C40">
        <v>0.1852</v>
      </c>
      <c r="D40">
        <v>2.6819000000000002</v>
      </c>
      <c r="E40">
        <v>0.66459999999999997</v>
      </c>
      <c r="F40">
        <v>1.5934999999999999</v>
      </c>
      <c r="G40">
        <v>2.4539</v>
      </c>
      <c r="N40" s="12"/>
      <c r="O40" s="14"/>
      <c r="Q40" s="12"/>
      <c r="Y40" s="11"/>
    </row>
    <row r="41" spans="1:87">
      <c r="A41" s="581" t="s">
        <v>1559</v>
      </c>
      <c r="B41">
        <v>1.4966999999999999</v>
      </c>
      <c r="C41">
        <v>0.1177</v>
      </c>
      <c r="D41">
        <v>2.1244000000000001</v>
      </c>
      <c r="E41">
        <v>0.86699999999999999</v>
      </c>
      <c r="F41">
        <v>2.1393</v>
      </c>
      <c r="G41">
        <v>2.8611</v>
      </c>
      <c r="N41" s="12"/>
      <c r="O41" s="14"/>
      <c r="Q41" s="12"/>
      <c r="Y41" s="11"/>
    </row>
    <row r="42" spans="1:87">
      <c r="A42" s="581" t="s">
        <v>1560</v>
      </c>
      <c r="B42">
        <v>1.6830000000000001</v>
      </c>
      <c r="C42">
        <v>0.15179999999999999</v>
      </c>
      <c r="D42">
        <v>2.9836999999999998</v>
      </c>
      <c r="E42">
        <v>0.8931</v>
      </c>
      <c r="F42">
        <v>2.6084999999999998</v>
      </c>
      <c r="G42">
        <v>3.9346999999999999</v>
      </c>
      <c r="Y42" s="11"/>
    </row>
    <row r="43" spans="1:87">
      <c r="A43" s="581" t="s">
        <v>1561</v>
      </c>
      <c r="B43">
        <v>1.7081</v>
      </c>
      <c r="C43">
        <v>0.15490000000000001</v>
      </c>
      <c r="D43">
        <v>3.0825999999999998</v>
      </c>
      <c r="E43">
        <v>0.95940000000000003</v>
      </c>
      <c r="F43">
        <v>2.2496999999999998</v>
      </c>
      <c r="G43">
        <v>2.7544</v>
      </c>
      <c r="Q43" s="12"/>
      <c r="Y43" s="11"/>
    </row>
    <row r="44" spans="1:87">
      <c r="A44" s="581" t="s">
        <v>1562</v>
      </c>
      <c r="B44">
        <v>1.9894000000000001</v>
      </c>
      <c r="C44">
        <v>0.21410000000000001</v>
      </c>
      <c r="D44">
        <v>4.4010999999999996</v>
      </c>
      <c r="E44">
        <v>0.92600000000000005</v>
      </c>
      <c r="F44">
        <v>2.3409</v>
      </c>
      <c r="G44">
        <v>2.8203</v>
      </c>
      <c r="Y44" s="11"/>
    </row>
    <row r="45" spans="1:87">
      <c r="A45" s="581" t="s">
        <v>1563</v>
      </c>
      <c r="B45">
        <v>1.5237000000000001</v>
      </c>
      <c r="C45">
        <v>0.15620000000000001</v>
      </c>
      <c r="D45">
        <v>2.7277</v>
      </c>
      <c r="E45">
        <v>0.96830000000000005</v>
      </c>
      <c r="F45">
        <v>1.6594</v>
      </c>
      <c r="G45">
        <v>1.9823</v>
      </c>
      <c r="Q45" s="12"/>
      <c r="Y45" s="11"/>
    </row>
    <row r="46" spans="1:87">
      <c r="A46" s="581" t="s">
        <v>1564</v>
      </c>
      <c r="B46">
        <v>2.1314000000000002</v>
      </c>
      <c r="C46">
        <v>0.1696</v>
      </c>
      <c r="D46">
        <v>5.3475999999999999</v>
      </c>
      <c r="E46">
        <v>0.9698</v>
      </c>
      <c r="F46">
        <v>3.6212</v>
      </c>
      <c r="G46">
        <v>1.9389000000000001</v>
      </c>
      <c r="Q46" s="16"/>
      <c r="Y46" s="11"/>
    </row>
    <row r="47" spans="1:87">
      <c r="A47" s="581" t="s">
        <v>1565</v>
      </c>
      <c r="B47">
        <v>1.4019999999999999</v>
      </c>
      <c r="C47">
        <v>8.8599999999999998E-2</v>
      </c>
      <c r="D47">
        <v>4.6433</v>
      </c>
      <c r="E47">
        <v>0.93510000000000004</v>
      </c>
      <c r="F47">
        <v>2.1206</v>
      </c>
      <c r="G47">
        <v>1.3541000000000001</v>
      </c>
      <c r="Q47" s="16"/>
      <c r="Y47" s="11"/>
    </row>
    <row r="48" spans="1:87">
      <c r="A48" s="581" t="s">
        <v>1566</v>
      </c>
      <c r="B48">
        <v>1.4339</v>
      </c>
      <c r="C48">
        <v>0.1444</v>
      </c>
      <c r="D48">
        <v>2.6339999999999999</v>
      </c>
      <c r="E48">
        <v>0.99480000000000002</v>
      </c>
      <c r="F48">
        <v>1.6886000000000001</v>
      </c>
      <c r="G48">
        <v>2.1373000000000002</v>
      </c>
      <c r="Y48" s="11"/>
    </row>
    <row r="49" spans="1:25">
      <c r="A49" s="581" t="s">
        <v>1567</v>
      </c>
      <c r="B49">
        <v>1.5751999999999999</v>
      </c>
      <c r="C49">
        <v>0.27779999999999999</v>
      </c>
      <c r="D49">
        <v>4.9095000000000004</v>
      </c>
      <c r="E49">
        <v>1.0646</v>
      </c>
      <c r="F49">
        <v>1.4121999999999999</v>
      </c>
      <c r="G49">
        <v>1.7291000000000001</v>
      </c>
      <c r="Y49" s="11"/>
    </row>
    <row r="50" spans="1:25">
      <c r="A50" s="581" t="s">
        <v>1568</v>
      </c>
      <c r="B50">
        <v>1.5931</v>
      </c>
      <c r="C50">
        <v>0.2276</v>
      </c>
      <c r="D50">
        <v>3.2446999999999999</v>
      </c>
      <c r="E50">
        <v>1.002</v>
      </c>
      <c r="F50">
        <v>1.5429999999999999</v>
      </c>
      <c r="G50">
        <v>2.3725999999999998</v>
      </c>
      <c r="Y50" s="11"/>
    </row>
    <row r="51" spans="1:25">
      <c r="A51" s="581" t="s">
        <v>1569</v>
      </c>
      <c r="B51">
        <v>1.5954999999999999</v>
      </c>
      <c r="C51">
        <v>0.30330000000000001</v>
      </c>
      <c r="D51">
        <v>10.4757</v>
      </c>
      <c r="E51">
        <v>1.0210999999999999</v>
      </c>
      <c r="F51">
        <v>1.3622000000000001</v>
      </c>
      <c r="G51">
        <v>1.2504999999999999</v>
      </c>
      <c r="Y51" s="11"/>
    </row>
    <row r="52" spans="1:25">
      <c r="A52" s="581" t="s">
        <v>1570</v>
      </c>
      <c r="B52">
        <v>1.8740000000000001</v>
      </c>
      <c r="C52">
        <v>0.39140000000000003</v>
      </c>
      <c r="D52">
        <v>7.2641999999999998</v>
      </c>
      <c r="E52">
        <v>1.0270999999999999</v>
      </c>
      <c r="F52">
        <v>1.5334000000000001</v>
      </c>
      <c r="G52">
        <v>1.7635000000000001</v>
      </c>
      <c r="Y52" s="11"/>
    </row>
    <row r="53" spans="1:25">
      <c r="A53" s="581" t="s">
        <v>1571</v>
      </c>
      <c r="B53">
        <v>1.6821999999999999</v>
      </c>
      <c r="C53">
        <v>0.34449999999999997</v>
      </c>
      <c r="D53">
        <v>11.0297</v>
      </c>
      <c r="E53">
        <v>1.0673999999999999</v>
      </c>
      <c r="F53">
        <v>1.3374999999999999</v>
      </c>
      <c r="G53">
        <v>1.2742</v>
      </c>
      <c r="K53" s="17"/>
      <c r="N53" s="17"/>
      <c r="O53" s="17"/>
      <c r="P53" s="17"/>
      <c r="Y53" s="11"/>
    </row>
    <row r="54" spans="1:25">
      <c r="A54" s="581" t="s">
        <v>1572</v>
      </c>
      <c r="B54">
        <v>1.6820999999999999</v>
      </c>
      <c r="C54">
        <v>0.3624</v>
      </c>
      <c r="D54">
        <v>6.7759999999999998</v>
      </c>
      <c r="E54">
        <v>1.0982000000000001</v>
      </c>
      <c r="F54">
        <v>1.3564000000000001</v>
      </c>
      <c r="G54">
        <v>1.5615000000000001</v>
      </c>
      <c r="K54" s="17"/>
      <c r="N54" s="12"/>
      <c r="O54" s="12"/>
      <c r="Y54" s="11"/>
    </row>
    <row r="55" spans="1:25">
      <c r="A55" s="581" t="s">
        <v>1573</v>
      </c>
      <c r="B55">
        <v>1.8176000000000001</v>
      </c>
      <c r="C55">
        <v>0.31759999999999999</v>
      </c>
      <c r="D55">
        <v>6.5780000000000003</v>
      </c>
      <c r="E55">
        <v>1.0314000000000001</v>
      </c>
      <c r="F55">
        <v>1.4693000000000001</v>
      </c>
      <c r="G55">
        <v>1.7184999999999999</v>
      </c>
      <c r="K55" s="17"/>
      <c r="N55" s="12"/>
      <c r="O55" s="12"/>
      <c r="Y55" s="11"/>
    </row>
    <row r="56" spans="1:25">
      <c r="A56" s="581" t="s">
        <v>1574</v>
      </c>
      <c r="B56">
        <v>1.6815</v>
      </c>
      <c r="C56">
        <v>0.39789999999999998</v>
      </c>
      <c r="D56">
        <v>12.5075</v>
      </c>
      <c r="E56">
        <v>1.0866</v>
      </c>
      <c r="F56">
        <v>1.2914000000000001</v>
      </c>
      <c r="G56">
        <v>1.2431000000000001</v>
      </c>
      <c r="K56" s="17"/>
      <c r="Y56" s="11"/>
    </row>
    <row r="57" spans="1:25">
      <c r="A57" s="581" t="s">
        <v>1575</v>
      </c>
      <c r="B57">
        <v>1.7613000000000001</v>
      </c>
      <c r="C57">
        <v>0.4214</v>
      </c>
      <c r="D57">
        <v>17.194500000000001</v>
      </c>
      <c r="E57">
        <v>1.0882000000000001</v>
      </c>
      <c r="F57">
        <v>1.3145</v>
      </c>
      <c r="G57">
        <v>1.1870000000000001</v>
      </c>
      <c r="Y57" s="11"/>
    </row>
    <row r="58" spans="1:25">
      <c r="A58" s="581" t="s">
        <v>1576</v>
      </c>
      <c r="B58">
        <v>1.7273000000000001</v>
      </c>
      <c r="C58">
        <v>0.35260000000000002</v>
      </c>
      <c r="D58">
        <v>11.8064</v>
      </c>
      <c r="E58">
        <v>1.0367</v>
      </c>
      <c r="F58">
        <v>1.4195</v>
      </c>
      <c r="G58">
        <v>1.3121</v>
      </c>
      <c r="Y58" s="11"/>
    </row>
    <row r="59" spans="1:25">
      <c r="A59" s="581" t="s">
        <v>1577</v>
      </c>
      <c r="B59">
        <v>1.5608</v>
      </c>
      <c r="C59">
        <v>0.25990000000000002</v>
      </c>
      <c r="D59">
        <v>12.583399999999999</v>
      </c>
      <c r="E59">
        <v>0.98509999999999998</v>
      </c>
      <c r="F59">
        <v>1.3868</v>
      </c>
      <c r="G59">
        <v>1.1742999999999999</v>
      </c>
      <c r="N59" s="12"/>
      <c r="O59" s="14"/>
      <c r="Q59" s="12"/>
      <c r="Y59" s="11"/>
    </row>
    <row r="60" spans="1:25">
      <c r="A60" s="581" t="s">
        <v>1578</v>
      </c>
      <c r="B60">
        <v>1.69</v>
      </c>
      <c r="C60">
        <v>0.24079999999999999</v>
      </c>
      <c r="D60">
        <v>6.625</v>
      </c>
      <c r="E60">
        <v>0.95179999999999998</v>
      </c>
      <c r="F60">
        <v>1.6738</v>
      </c>
      <c r="G60">
        <v>1.5445</v>
      </c>
      <c r="N60" s="12"/>
      <c r="O60" s="14"/>
      <c r="Q60" s="12"/>
      <c r="Y60" s="11"/>
    </row>
    <row r="61" spans="1:25">
      <c r="A61" s="581" t="s">
        <v>1579</v>
      </c>
      <c r="B61">
        <v>1.6605000000000001</v>
      </c>
      <c r="C61">
        <v>0.27810000000000001</v>
      </c>
      <c r="D61">
        <v>12.191599999999999</v>
      </c>
      <c r="E61">
        <v>0.92090000000000005</v>
      </c>
      <c r="F61">
        <v>1.4278999999999999</v>
      </c>
      <c r="G61">
        <v>1.2008000000000001</v>
      </c>
      <c r="Y61" s="11"/>
    </row>
    <row r="62" spans="1:25">
      <c r="A62" s="581" t="s">
        <v>1580</v>
      </c>
      <c r="B62">
        <v>1.8076000000000001</v>
      </c>
      <c r="C62">
        <v>0.36109999999999998</v>
      </c>
      <c r="D62">
        <v>9.2021999999999995</v>
      </c>
      <c r="E62">
        <v>1.0248999999999999</v>
      </c>
      <c r="F62">
        <v>1.4318</v>
      </c>
      <c r="G62">
        <v>1.4220999999999999</v>
      </c>
      <c r="Q62" s="12"/>
      <c r="Y62" s="11"/>
    </row>
    <row r="63" spans="1:25">
      <c r="A63" s="581" t="s">
        <v>1581</v>
      </c>
      <c r="B63">
        <v>0.98660000000000003</v>
      </c>
      <c r="C63">
        <v>0.1366</v>
      </c>
      <c r="D63">
        <v>3.9169999999999998</v>
      </c>
      <c r="E63">
        <v>0.59340000000000004</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sheetPr codeName="Sheet35">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1.5799000000000001</v>
      </c>
      <c r="C2">
        <v>0.41949999999999998</v>
      </c>
      <c r="D2">
        <v>19.4739</v>
      </c>
      <c r="E2">
        <v>0.74199999999999999</v>
      </c>
      <c r="F2">
        <v>1.4575</v>
      </c>
      <c r="G2">
        <v>1.2589999999999999</v>
      </c>
    </row>
    <row r="3" spans="1:87">
      <c r="A3" s="581" t="s">
        <v>1521</v>
      </c>
      <c r="B3">
        <v>1.5841000000000001</v>
      </c>
      <c r="C3">
        <v>0.48520000000000002</v>
      </c>
      <c r="D3">
        <v>21.6953</v>
      </c>
      <c r="E3">
        <v>0.95540000000000003</v>
      </c>
      <c r="F3">
        <v>1.3646</v>
      </c>
      <c r="G3">
        <v>1.1842999999999999</v>
      </c>
    </row>
    <row r="4" spans="1:87">
      <c r="A4" s="581" t="s">
        <v>1522</v>
      </c>
      <c r="B4">
        <v>1</v>
      </c>
      <c r="C4">
        <v>0</v>
      </c>
      <c r="D4">
        <v>0</v>
      </c>
      <c r="E4">
        <v>0</v>
      </c>
      <c r="F4">
        <v>0</v>
      </c>
      <c r="G4">
        <v>0</v>
      </c>
      <c r="N4" s="17"/>
      <c r="U4" s="21"/>
      <c r="X4" s="21"/>
    </row>
    <row r="5" spans="1:87">
      <c r="A5" s="581" t="s">
        <v>1523</v>
      </c>
      <c r="B5">
        <v>1.2805</v>
      </c>
      <c r="C5">
        <v>0.16489999999999999</v>
      </c>
      <c r="D5">
        <v>3.2381000000000002</v>
      </c>
      <c r="E5">
        <v>0.74780000000000002</v>
      </c>
      <c r="F5">
        <v>1.6233</v>
      </c>
      <c r="G5">
        <v>1.766</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1.6380999999999999</v>
      </c>
      <c r="C6">
        <v>0.32479999999999998</v>
      </c>
      <c r="D6">
        <v>7.3163</v>
      </c>
      <c r="E6">
        <v>0.79730000000000001</v>
      </c>
      <c r="F6">
        <v>1.8258000000000001</v>
      </c>
      <c r="G6">
        <v>1.7592000000000001</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1.1855</v>
      </c>
      <c r="C7">
        <v>0.151</v>
      </c>
      <c r="D7">
        <v>2.1227</v>
      </c>
      <c r="E7">
        <v>0.8075</v>
      </c>
      <c r="F7">
        <v>1.3973</v>
      </c>
      <c r="G7">
        <v>2.0270000000000001</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1.6698</v>
      </c>
      <c r="C8">
        <v>0.41749999999999998</v>
      </c>
      <c r="D8">
        <v>8.7972000000000001</v>
      </c>
      <c r="E8">
        <v>0.92549999999999999</v>
      </c>
      <c r="F8">
        <v>1.5758000000000001</v>
      </c>
      <c r="G8">
        <v>1.7251000000000001</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1.4065000000000001</v>
      </c>
      <c r="C9">
        <v>0.1699</v>
      </c>
      <c r="D9">
        <v>4.1372999999999998</v>
      </c>
      <c r="E9">
        <v>0.58220000000000005</v>
      </c>
      <c r="F9">
        <v>2.1408999999999998</v>
      </c>
      <c r="G9">
        <v>1.9592000000000001</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1.5021</v>
      </c>
      <c r="C10">
        <v>0.23699999999999999</v>
      </c>
      <c r="D10">
        <v>5.0370999999999997</v>
      </c>
      <c r="E10">
        <v>0.69369999999999998</v>
      </c>
      <c r="F10">
        <v>1.9232</v>
      </c>
      <c r="G10">
        <v>2.0354999999999999</v>
      </c>
      <c r="U10" s="13"/>
      <c r="V10" s="23"/>
      <c r="W10" s="26"/>
      <c r="Y10" s="11"/>
      <c r="AM10" s="12"/>
      <c r="AV10" s="12"/>
      <c r="BE10" s="12"/>
      <c r="BN10" s="12"/>
      <c r="BW10" s="12"/>
      <c r="CF10" s="12"/>
    </row>
    <row r="11" spans="1:87">
      <c r="A11" s="581" t="s">
        <v>1529</v>
      </c>
      <c r="B11">
        <v>1.5042</v>
      </c>
      <c r="C11">
        <v>0.26119999999999999</v>
      </c>
      <c r="D11">
        <v>6.0993000000000004</v>
      </c>
      <c r="E11">
        <v>0.50380000000000003</v>
      </c>
      <c r="F11">
        <v>1.8059000000000001</v>
      </c>
      <c r="G11">
        <v>1.7623</v>
      </c>
      <c r="U11" s="13"/>
      <c r="V11" s="23"/>
      <c r="Y11" s="11"/>
      <c r="AM11" s="12"/>
      <c r="AP11" s="12"/>
      <c r="AV11" s="12"/>
      <c r="AY11" s="12"/>
      <c r="BE11" s="12"/>
      <c r="BH11" s="12"/>
      <c r="BN11" s="12"/>
      <c r="BQ11" s="12"/>
      <c r="BW11" s="12"/>
      <c r="BZ11" s="12"/>
      <c r="CF11" s="12"/>
      <c r="CI11" s="12"/>
    </row>
    <row r="12" spans="1:87">
      <c r="A12" s="581" t="s">
        <v>1530</v>
      </c>
      <c r="B12">
        <v>1.4883</v>
      </c>
      <c r="C12">
        <v>0.28470000000000001</v>
      </c>
      <c r="D12">
        <v>5.6444999999999999</v>
      </c>
      <c r="E12">
        <v>0.72729999999999995</v>
      </c>
      <c r="F12">
        <v>1.6255999999999999</v>
      </c>
      <c r="G12">
        <v>1.8250999999999999</v>
      </c>
      <c r="N12" s="15"/>
      <c r="U12" s="13"/>
      <c r="V12" s="23"/>
      <c r="Y12" s="11"/>
      <c r="AM12" s="12"/>
      <c r="AV12" s="12"/>
      <c r="BE12" s="12"/>
      <c r="BN12" s="12"/>
      <c r="BW12" s="12"/>
      <c r="CF12" s="12"/>
    </row>
    <row r="13" spans="1:87">
      <c r="A13" s="581" t="s">
        <v>1531</v>
      </c>
      <c r="B13">
        <v>1.5448</v>
      </c>
      <c r="C13">
        <v>0.29909999999999998</v>
      </c>
      <c r="D13">
        <v>5.1105999999999998</v>
      </c>
      <c r="E13">
        <v>0.77949999999999997</v>
      </c>
      <c r="F13">
        <v>1.69</v>
      </c>
      <c r="G13">
        <v>2.1315</v>
      </c>
      <c r="N13" s="16"/>
      <c r="U13" s="13"/>
      <c r="V13" s="23"/>
      <c r="Y13" s="11"/>
      <c r="AM13" s="12"/>
      <c r="AV13" s="12"/>
      <c r="BE13" s="12"/>
      <c r="BN13" s="12"/>
      <c r="BW13" s="12"/>
      <c r="CF13" s="12"/>
    </row>
    <row r="14" spans="1:87">
      <c r="A14" s="581" t="s">
        <v>1532</v>
      </c>
      <c r="B14">
        <v>1.4276</v>
      </c>
      <c r="C14">
        <v>0.27410000000000001</v>
      </c>
      <c r="D14">
        <v>4.4550000000000001</v>
      </c>
      <c r="E14">
        <v>0.97130000000000005</v>
      </c>
      <c r="F14">
        <v>1.5395000000000001</v>
      </c>
      <c r="G14">
        <v>1.9366000000000001</v>
      </c>
      <c r="N14" s="16"/>
      <c r="U14" s="13"/>
      <c r="V14" s="23"/>
      <c r="Y14" s="11"/>
      <c r="AM14" s="12"/>
      <c r="AV14" s="12"/>
      <c r="BE14" s="12"/>
      <c r="BN14" s="12"/>
      <c r="BW14" s="12"/>
      <c r="CF14" s="12"/>
    </row>
    <row r="15" spans="1:87">
      <c r="A15" s="581" t="s">
        <v>1533</v>
      </c>
      <c r="B15">
        <v>1.4670000000000001</v>
      </c>
      <c r="C15">
        <v>0.27939999999999998</v>
      </c>
      <c r="D15">
        <v>5.2740999999999998</v>
      </c>
      <c r="E15">
        <v>0.6673</v>
      </c>
      <c r="F15">
        <v>1.5866</v>
      </c>
      <c r="G15">
        <v>1.7946</v>
      </c>
      <c r="N15" s="15"/>
      <c r="U15" s="13"/>
      <c r="V15" s="23"/>
      <c r="Y15" s="11"/>
      <c r="AM15" s="12"/>
      <c r="AV15" s="12"/>
    </row>
    <row r="16" spans="1:87">
      <c r="A16" s="581" t="s">
        <v>1534</v>
      </c>
      <c r="B16">
        <v>1.5805</v>
      </c>
      <c r="C16">
        <v>0.2215</v>
      </c>
      <c r="D16">
        <v>5.085</v>
      </c>
      <c r="E16">
        <v>0.48699999999999999</v>
      </c>
      <c r="F16">
        <v>2.4695999999999998</v>
      </c>
      <c r="G16">
        <v>2.1213000000000002</v>
      </c>
      <c r="U16" s="13"/>
      <c r="V16" s="23"/>
      <c r="Y16" s="11"/>
      <c r="AM16" s="12"/>
      <c r="AV16" s="12"/>
      <c r="BE16" s="12"/>
      <c r="BN16" s="12"/>
      <c r="BW16" s="12"/>
      <c r="CF16" s="12"/>
    </row>
    <row r="17" spans="1:87">
      <c r="A17" s="581" t="s">
        <v>1535</v>
      </c>
      <c r="B17">
        <v>1.4219999999999999</v>
      </c>
      <c r="C17">
        <v>0.1837</v>
      </c>
      <c r="D17">
        <v>4.3784999999999998</v>
      </c>
      <c r="E17">
        <v>0.56320000000000003</v>
      </c>
      <c r="F17">
        <v>2.048</v>
      </c>
      <c r="G17">
        <v>1.8325</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1.5492999999999999</v>
      </c>
      <c r="C18">
        <v>0.33960000000000001</v>
      </c>
      <c r="D18">
        <v>6.9493999999999998</v>
      </c>
      <c r="E18">
        <v>0.83179999999999998</v>
      </c>
      <c r="F18">
        <v>1.5669</v>
      </c>
      <c r="G18">
        <v>1.7353000000000001</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1.5</v>
      </c>
      <c r="C19">
        <v>0.28960000000000002</v>
      </c>
      <c r="D19">
        <v>5.0412999999999997</v>
      </c>
      <c r="E19">
        <v>0.87870000000000004</v>
      </c>
      <c r="F19">
        <v>1.6307</v>
      </c>
      <c r="G19">
        <v>2.0562999999999998</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1.5145999999999999</v>
      </c>
      <c r="C20">
        <v>0.22559999999999999</v>
      </c>
      <c r="D20">
        <v>5.0210999999999997</v>
      </c>
      <c r="E20">
        <v>0.56440000000000001</v>
      </c>
      <c r="F20">
        <v>2.0524</v>
      </c>
      <c r="G20">
        <v>2.0478000000000001</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1.5681</v>
      </c>
      <c r="C21">
        <v>0.29570000000000002</v>
      </c>
      <c r="D21">
        <v>7.1257999999999999</v>
      </c>
      <c r="E21">
        <v>0.64129999999999998</v>
      </c>
      <c r="F21">
        <v>1.736</v>
      </c>
      <c r="G21">
        <v>1.6915</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1.5279</v>
      </c>
      <c r="C22">
        <v>0.42</v>
      </c>
      <c r="D22">
        <v>11.3506</v>
      </c>
      <c r="E22">
        <v>0.96970000000000001</v>
      </c>
      <c r="F22">
        <v>1.3923000000000001</v>
      </c>
      <c r="G22">
        <v>1.3524</v>
      </c>
      <c r="K22" s="17"/>
      <c r="L22" s="17"/>
      <c r="M22" s="17"/>
      <c r="N22" s="17"/>
      <c r="O22" s="17"/>
      <c r="P22" s="17"/>
      <c r="U22" s="13"/>
      <c r="V22" s="23"/>
      <c r="Y22" s="11"/>
      <c r="AM22" s="12"/>
      <c r="AV22" s="12"/>
      <c r="BE22" s="12"/>
      <c r="BN22" s="12"/>
      <c r="BW22" s="12"/>
      <c r="CF22" s="12"/>
    </row>
    <row r="23" spans="1:87">
      <c r="A23" s="581" t="s">
        <v>1541</v>
      </c>
      <c r="B23">
        <v>1.4797</v>
      </c>
      <c r="C23">
        <v>0.27760000000000001</v>
      </c>
      <c r="D23">
        <v>5.1905999999999999</v>
      </c>
      <c r="E23">
        <v>0.63029999999999997</v>
      </c>
      <c r="F23">
        <v>1.6324000000000001</v>
      </c>
      <c r="G23">
        <v>1.8946000000000001</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1.6231</v>
      </c>
      <c r="C24">
        <v>0.30599999999999999</v>
      </c>
      <c r="D24">
        <v>6.8992000000000004</v>
      </c>
      <c r="E24">
        <v>0.74429999999999996</v>
      </c>
      <c r="F24">
        <v>1.8542000000000001</v>
      </c>
      <c r="G24">
        <v>1.9125000000000001</v>
      </c>
      <c r="K24" s="17"/>
      <c r="L24" s="17"/>
      <c r="M24" s="17"/>
      <c r="N24" s="18"/>
      <c r="O24" s="18"/>
      <c r="P24" s="17"/>
      <c r="R24" s="11"/>
      <c r="U24" s="13"/>
      <c r="V24" s="23"/>
      <c r="Y24" s="11"/>
      <c r="AM24" s="12"/>
      <c r="AV24" s="12"/>
      <c r="BE24" s="12"/>
      <c r="BN24" s="12"/>
      <c r="BW24" s="12"/>
      <c r="CF24" s="12"/>
    </row>
    <row r="25" spans="1:87">
      <c r="A25" s="581" t="s">
        <v>1543</v>
      </c>
      <c r="B25">
        <v>1.1665000000000001</v>
      </c>
      <c r="C25">
        <v>0.123</v>
      </c>
      <c r="D25">
        <v>1.6592</v>
      </c>
      <c r="E25">
        <v>0.3649</v>
      </c>
      <c r="F25">
        <v>1.4078999999999999</v>
      </c>
      <c r="G25">
        <v>2.0587</v>
      </c>
      <c r="K25" s="17"/>
      <c r="L25" s="17"/>
      <c r="M25" s="17"/>
      <c r="N25" s="18"/>
      <c r="O25" s="17"/>
      <c r="P25" s="17"/>
      <c r="U25" s="13"/>
      <c r="V25" s="23"/>
      <c r="Y25" s="11"/>
      <c r="AM25" s="12"/>
      <c r="AV25" s="12"/>
      <c r="BE25" s="12"/>
      <c r="BN25" s="12"/>
      <c r="BW25" s="12"/>
      <c r="CF25" s="12"/>
    </row>
    <row r="26" spans="1:87">
      <c r="A26" s="581" t="s">
        <v>1544</v>
      </c>
      <c r="B26">
        <v>1.4227000000000001</v>
      </c>
      <c r="C26">
        <v>0.19719999999999999</v>
      </c>
      <c r="D26">
        <v>3.0043000000000002</v>
      </c>
      <c r="E26">
        <v>0.61309999999999998</v>
      </c>
      <c r="F26">
        <v>1.9886999999999999</v>
      </c>
      <c r="G26">
        <v>3.0632000000000001</v>
      </c>
      <c r="Y26" s="11"/>
      <c r="AM26" s="12"/>
      <c r="AV26" s="12"/>
      <c r="BE26" s="12"/>
      <c r="BN26" s="12"/>
      <c r="BW26" s="12"/>
      <c r="CF26" s="12"/>
    </row>
    <row r="27" spans="1:87">
      <c r="A27" s="581" t="s">
        <v>1545</v>
      </c>
      <c r="B27">
        <v>1.4634</v>
      </c>
      <c r="C27">
        <v>0.23280000000000001</v>
      </c>
      <c r="D27">
        <v>4.8577000000000004</v>
      </c>
      <c r="E27">
        <v>0.65029999999999999</v>
      </c>
      <c r="F27">
        <v>1.7653000000000001</v>
      </c>
      <c r="G27">
        <v>1.8797999999999999</v>
      </c>
      <c r="M27" s="12"/>
      <c r="Y27" s="11"/>
      <c r="AM27" s="12"/>
      <c r="AV27" s="12"/>
    </row>
    <row r="28" spans="1:87">
      <c r="A28" s="581" t="s">
        <v>1546</v>
      </c>
      <c r="B28">
        <v>1.5972</v>
      </c>
      <c r="C28">
        <v>0.36380000000000001</v>
      </c>
      <c r="D28">
        <v>6.4669999999999996</v>
      </c>
      <c r="E28">
        <v>1.0217000000000001</v>
      </c>
      <c r="F28">
        <v>1.6167</v>
      </c>
      <c r="G28">
        <v>2.0623999999999998</v>
      </c>
      <c r="M28" s="13"/>
      <c r="N28" s="12"/>
      <c r="O28" s="14"/>
      <c r="Q28" s="12"/>
      <c r="Y28" s="11"/>
      <c r="AM28" s="12"/>
      <c r="AV28" s="12"/>
      <c r="BE28" s="12"/>
      <c r="BN28" s="12"/>
      <c r="BW28" s="12"/>
      <c r="CF28" s="12"/>
    </row>
    <row r="29" spans="1:87">
      <c r="A29" s="581" t="s">
        <v>1547</v>
      </c>
      <c r="B29">
        <v>1.5955999999999999</v>
      </c>
      <c r="C29">
        <v>0.3725</v>
      </c>
      <c r="D29">
        <v>12.013199999999999</v>
      </c>
      <c r="E29">
        <v>1.0329999999999999</v>
      </c>
      <c r="F29">
        <v>1.5328999999999999</v>
      </c>
      <c r="G29">
        <v>1.3845000000000001</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1.4019999999999999</v>
      </c>
      <c r="C30">
        <v>0.1966</v>
      </c>
      <c r="D30">
        <v>4.1638999999999999</v>
      </c>
      <c r="E30">
        <v>0.6744</v>
      </c>
      <c r="F30">
        <v>1.9689000000000001</v>
      </c>
      <c r="G30">
        <v>2.5547</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1.6220000000000001</v>
      </c>
      <c r="C31">
        <v>0.22020000000000001</v>
      </c>
      <c r="D31">
        <v>4.1163999999999996</v>
      </c>
      <c r="E31">
        <v>0.79279999999999995</v>
      </c>
      <c r="F31">
        <v>2.9074</v>
      </c>
      <c r="G31">
        <v>4.1325000000000003</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1.452</v>
      </c>
      <c r="C32">
        <v>0.25950000000000001</v>
      </c>
      <c r="D32">
        <v>4.3688000000000002</v>
      </c>
      <c r="E32">
        <v>0.68459999999999999</v>
      </c>
      <c r="F32">
        <v>1.6963999999999999</v>
      </c>
      <c r="G32">
        <v>2.4569999999999999</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1.5501</v>
      </c>
      <c r="C33">
        <v>0.29349999999999998</v>
      </c>
      <c r="D33">
        <v>6.7971000000000004</v>
      </c>
      <c r="E33">
        <v>0.80289999999999995</v>
      </c>
      <c r="F33">
        <v>1.7952999999999999</v>
      </c>
      <c r="G33">
        <v>1.9037999999999999</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1.4962</v>
      </c>
      <c r="C34">
        <v>0.44990000000000002</v>
      </c>
      <c r="D34">
        <v>13.351699999999999</v>
      </c>
      <c r="E34">
        <v>1.0103</v>
      </c>
      <c r="F34">
        <v>1.3367</v>
      </c>
      <c r="G34">
        <v>1.2779</v>
      </c>
      <c r="K34" s="17"/>
      <c r="L34" s="17"/>
      <c r="M34" s="17"/>
      <c r="N34" s="17"/>
      <c r="O34" s="17"/>
      <c r="P34" s="17"/>
      <c r="Y34" s="11"/>
      <c r="AM34" s="12"/>
      <c r="AV34" s="12"/>
      <c r="BE34" s="12"/>
      <c r="BN34" s="12"/>
      <c r="BW34" s="12"/>
      <c r="CF34" s="12"/>
    </row>
    <row r="35" spans="1:87">
      <c r="A35" s="581" t="s">
        <v>1553</v>
      </c>
      <c r="B35">
        <v>1.8383</v>
      </c>
      <c r="C35">
        <v>0.67079999999999995</v>
      </c>
      <c r="D35">
        <v>10.367100000000001</v>
      </c>
      <c r="E35">
        <v>1.1284000000000001</v>
      </c>
      <c r="F35">
        <v>1.4112</v>
      </c>
      <c r="G35">
        <v>1.9064000000000001</v>
      </c>
      <c r="K35" s="17"/>
      <c r="L35" s="17"/>
      <c r="M35" s="17"/>
      <c r="N35" s="18"/>
      <c r="O35" s="18"/>
      <c r="P35" s="17"/>
      <c r="Y35" s="11"/>
      <c r="AM35" s="12"/>
      <c r="AP35" s="12"/>
      <c r="AV35" s="12"/>
      <c r="AY35" s="12"/>
      <c r="BE35" s="12"/>
      <c r="BH35" s="12"/>
      <c r="BN35" s="12"/>
      <c r="BQ35" s="12"/>
      <c r="BW35" s="12"/>
      <c r="BZ35" s="12"/>
      <c r="CF35" s="12"/>
      <c r="CI35" s="12"/>
    </row>
    <row r="36" spans="1:87">
      <c r="A36" s="581" t="s">
        <v>1554</v>
      </c>
      <c r="B36">
        <v>1.5676000000000001</v>
      </c>
      <c r="C36">
        <v>0.47989999999999999</v>
      </c>
      <c r="D36">
        <v>10.6166</v>
      </c>
      <c r="E36">
        <v>1.0445</v>
      </c>
      <c r="F36">
        <v>1.3756999999999999</v>
      </c>
      <c r="G36">
        <v>1.4852000000000001</v>
      </c>
      <c r="K36" s="17"/>
      <c r="L36" s="17"/>
      <c r="M36" s="17"/>
      <c r="N36" s="18"/>
      <c r="O36" s="18"/>
      <c r="P36" s="17"/>
      <c r="Y36" s="11"/>
      <c r="AM36" s="12"/>
      <c r="AV36" s="12"/>
      <c r="BE36" s="12"/>
      <c r="BN36" s="12"/>
      <c r="BW36" s="12"/>
      <c r="CF36" s="12"/>
    </row>
    <row r="37" spans="1:87">
      <c r="A37" s="581" t="s">
        <v>1555</v>
      </c>
      <c r="B37">
        <v>1.4711000000000001</v>
      </c>
      <c r="C37">
        <v>0.2853</v>
      </c>
      <c r="D37">
        <v>7.2434000000000003</v>
      </c>
      <c r="E37">
        <v>1.0274000000000001</v>
      </c>
      <c r="F37">
        <v>1.5549999999999999</v>
      </c>
      <c r="G37">
        <v>1.5955999999999999</v>
      </c>
      <c r="K37" s="17"/>
      <c r="L37" s="17"/>
      <c r="M37" s="17"/>
      <c r="N37" s="17"/>
      <c r="O37" s="17"/>
      <c r="P37" s="17"/>
      <c r="Y37" s="11"/>
    </row>
    <row r="38" spans="1:87">
      <c r="A38" s="581" t="s">
        <v>1556</v>
      </c>
      <c r="B38">
        <v>1.7334000000000001</v>
      </c>
      <c r="C38">
        <v>0.3276</v>
      </c>
      <c r="D38">
        <v>6.6923000000000004</v>
      </c>
      <c r="E38">
        <v>0.93079999999999996</v>
      </c>
      <c r="F38">
        <v>2.0937000000000001</v>
      </c>
      <c r="G38">
        <v>2.5947</v>
      </c>
      <c r="Y38" s="11"/>
    </row>
    <row r="39" spans="1:87">
      <c r="A39" s="581" t="s">
        <v>1557</v>
      </c>
      <c r="B39">
        <v>1.6902999999999999</v>
      </c>
      <c r="C39">
        <v>0.28810000000000002</v>
      </c>
      <c r="D39">
        <v>7.2742000000000004</v>
      </c>
      <c r="E39">
        <v>0.99409999999999998</v>
      </c>
      <c r="F39">
        <v>2.0830000000000002</v>
      </c>
      <c r="G39">
        <v>2.0327999999999999</v>
      </c>
      <c r="Y39" s="11"/>
    </row>
    <row r="40" spans="1:87">
      <c r="A40" s="581" t="s">
        <v>1558</v>
      </c>
      <c r="B40">
        <v>1.5814999999999999</v>
      </c>
      <c r="C40">
        <v>0.35649999999999998</v>
      </c>
      <c r="D40">
        <v>5.4120999999999997</v>
      </c>
      <c r="E40">
        <v>0.71730000000000005</v>
      </c>
      <c r="F40">
        <v>1.5717000000000001</v>
      </c>
      <c r="G40">
        <v>2.5369000000000002</v>
      </c>
      <c r="N40" s="12"/>
      <c r="O40" s="14"/>
      <c r="Q40" s="12"/>
      <c r="Y40" s="11"/>
    </row>
    <row r="41" spans="1:87">
      <c r="A41" s="581" t="s">
        <v>1559</v>
      </c>
      <c r="B41">
        <v>1.5314000000000001</v>
      </c>
      <c r="C41">
        <v>0.21110000000000001</v>
      </c>
      <c r="D41">
        <v>3.8782999999999999</v>
      </c>
      <c r="E41">
        <v>0.8972</v>
      </c>
      <c r="F41">
        <v>2.1303999999999998</v>
      </c>
      <c r="G41">
        <v>2.899</v>
      </c>
      <c r="N41" s="12"/>
      <c r="O41" s="14"/>
      <c r="Q41" s="12"/>
      <c r="Y41" s="11"/>
    </row>
    <row r="42" spans="1:87">
      <c r="A42" s="581" t="s">
        <v>1560</v>
      </c>
      <c r="B42">
        <v>1.6661999999999999</v>
      </c>
      <c r="C42">
        <v>0.27029999999999998</v>
      </c>
      <c r="D42">
        <v>5.1444999999999999</v>
      </c>
      <c r="E42">
        <v>0.89529999999999998</v>
      </c>
      <c r="F42">
        <v>2.2406000000000001</v>
      </c>
      <c r="G42">
        <v>3.2721</v>
      </c>
      <c r="Y42" s="11"/>
    </row>
    <row r="43" spans="1:87">
      <c r="A43" s="581" t="s">
        <v>1561</v>
      </c>
      <c r="B43">
        <v>1.7894000000000001</v>
      </c>
      <c r="C43">
        <v>0.30919999999999997</v>
      </c>
      <c r="D43">
        <v>6.1684999999999999</v>
      </c>
      <c r="E43">
        <v>1.0207999999999999</v>
      </c>
      <c r="F43">
        <v>2.3397000000000001</v>
      </c>
      <c r="G43">
        <v>2.8712</v>
      </c>
      <c r="Q43" s="12"/>
      <c r="Y43" s="11"/>
    </row>
    <row r="44" spans="1:87">
      <c r="A44" s="581" t="s">
        <v>1562</v>
      </c>
      <c r="B44">
        <v>2.1389</v>
      </c>
      <c r="C44">
        <v>0.49709999999999999</v>
      </c>
      <c r="D44">
        <v>9.9835999999999991</v>
      </c>
      <c r="E44">
        <v>1.0295000000000001</v>
      </c>
      <c r="F44">
        <v>2.0539999999999998</v>
      </c>
      <c r="G44">
        <v>2.4175</v>
      </c>
      <c r="Y44" s="11"/>
    </row>
    <row r="45" spans="1:87">
      <c r="A45" s="581" t="s">
        <v>1563</v>
      </c>
      <c r="B45">
        <v>1.7212000000000001</v>
      </c>
      <c r="C45">
        <v>0.37709999999999999</v>
      </c>
      <c r="D45">
        <v>6.7077</v>
      </c>
      <c r="E45">
        <v>1.0992999999999999</v>
      </c>
      <c r="F45">
        <v>1.7475000000000001</v>
      </c>
      <c r="G45">
        <v>2.1267999999999998</v>
      </c>
      <c r="Q45" s="12"/>
      <c r="Y45" s="11"/>
    </row>
    <row r="46" spans="1:87">
      <c r="A46" s="581" t="s">
        <v>1564</v>
      </c>
      <c r="B46">
        <v>2.2888000000000002</v>
      </c>
      <c r="C46">
        <v>0.41660000000000003</v>
      </c>
      <c r="D46">
        <v>13.424200000000001</v>
      </c>
      <c r="E46">
        <v>1.0750999999999999</v>
      </c>
      <c r="F46">
        <v>3.3601999999999999</v>
      </c>
      <c r="G46">
        <v>1.8391999999999999</v>
      </c>
      <c r="Q46" s="16"/>
      <c r="Y46" s="11"/>
    </row>
    <row r="47" spans="1:87">
      <c r="A47" s="581" t="s">
        <v>1565</v>
      </c>
      <c r="B47">
        <v>1.468</v>
      </c>
      <c r="C47">
        <v>0.1535</v>
      </c>
      <c r="D47">
        <v>7.3029000000000002</v>
      </c>
      <c r="E47">
        <v>0.97899999999999998</v>
      </c>
      <c r="F47">
        <v>2.5074999999999998</v>
      </c>
      <c r="G47">
        <v>1.4538</v>
      </c>
      <c r="Q47" s="16"/>
      <c r="Y47" s="11"/>
    </row>
    <row r="48" spans="1:87">
      <c r="A48" s="581" t="s">
        <v>1566</v>
      </c>
      <c r="B48">
        <v>1.3731</v>
      </c>
      <c r="C48">
        <v>0.21790000000000001</v>
      </c>
      <c r="D48">
        <v>3.9950000000000001</v>
      </c>
      <c r="E48">
        <v>0.96340000000000003</v>
      </c>
      <c r="F48">
        <v>1.6173999999999999</v>
      </c>
      <c r="G48">
        <v>2.0571999999999999</v>
      </c>
      <c r="Y48" s="11"/>
    </row>
    <row r="49" spans="1:25">
      <c r="A49" s="581" t="s">
        <v>1567</v>
      </c>
      <c r="B49">
        <v>1.7241</v>
      </c>
      <c r="C49">
        <v>0.51439999999999997</v>
      </c>
      <c r="D49">
        <v>9.2749000000000006</v>
      </c>
      <c r="E49">
        <v>1.1659999999999999</v>
      </c>
      <c r="F49">
        <v>1.4826999999999999</v>
      </c>
      <c r="G49">
        <v>1.8524</v>
      </c>
      <c r="Y49" s="11"/>
    </row>
    <row r="50" spans="1:25">
      <c r="A50" s="581" t="s">
        <v>1568</v>
      </c>
      <c r="B50">
        <v>1.8334999999999999</v>
      </c>
      <c r="C50">
        <v>0.57869999999999999</v>
      </c>
      <c r="D50">
        <v>8.2418999999999993</v>
      </c>
      <c r="E50">
        <v>1.1599999999999999</v>
      </c>
      <c r="F50">
        <v>1.4877</v>
      </c>
      <c r="G50">
        <v>2.2850999999999999</v>
      </c>
      <c r="Y50" s="11"/>
    </row>
    <row r="51" spans="1:25">
      <c r="A51" s="581" t="s">
        <v>1569</v>
      </c>
      <c r="B51">
        <v>1.6980999999999999</v>
      </c>
      <c r="C51">
        <v>0.46949999999999997</v>
      </c>
      <c r="D51">
        <v>15.714700000000001</v>
      </c>
      <c r="E51">
        <v>1.1045</v>
      </c>
      <c r="F51">
        <v>1.5238</v>
      </c>
      <c r="G51">
        <v>1.3557999999999999</v>
      </c>
      <c r="Y51" s="11"/>
    </row>
    <row r="52" spans="1:25">
      <c r="A52" s="581" t="s">
        <v>1570</v>
      </c>
      <c r="B52">
        <v>1.8144</v>
      </c>
      <c r="C52">
        <v>0.46400000000000002</v>
      </c>
      <c r="D52">
        <v>8.9312000000000005</v>
      </c>
      <c r="E52">
        <v>1.0102</v>
      </c>
      <c r="F52">
        <v>1.7170000000000001</v>
      </c>
      <c r="G52">
        <v>2.048</v>
      </c>
      <c r="Y52" s="11"/>
    </row>
    <row r="53" spans="1:25">
      <c r="A53" s="581" t="s">
        <v>1571</v>
      </c>
      <c r="B53">
        <v>1.7873000000000001</v>
      </c>
      <c r="C53">
        <v>0.57320000000000004</v>
      </c>
      <c r="D53">
        <v>18.213999999999999</v>
      </c>
      <c r="E53">
        <v>1.1456</v>
      </c>
      <c r="F53">
        <v>1.4056</v>
      </c>
      <c r="G53">
        <v>1.3291999999999999</v>
      </c>
      <c r="K53" s="17"/>
      <c r="N53" s="17"/>
      <c r="O53" s="17"/>
      <c r="P53" s="17"/>
      <c r="Y53" s="11"/>
    </row>
    <row r="54" spans="1:25">
      <c r="A54" s="581" t="s">
        <v>1572</v>
      </c>
      <c r="B54">
        <v>1.8022</v>
      </c>
      <c r="C54">
        <v>0.60950000000000004</v>
      </c>
      <c r="D54">
        <v>11.6236</v>
      </c>
      <c r="E54">
        <v>1.1858</v>
      </c>
      <c r="F54">
        <v>1.4327000000000001</v>
      </c>
      <c r="G54">
        <v>1.6821999999999999</v>
      </c>
      <c r="K54" s="17"/>
      <c r="N54" s="12"/>
      <c r="O54" s="12"/>
      <c r="Y54" s="11"/>
    </row>
    <row r="55" spans="1:25">
      <c r="A55" s="581" t="s">
        <v>1573</v>
      </c>
      <c r="B55">
        <v>1.8680000000000001</v>
      </c>
      <c r="C55">
        <v>0.50170000000000003</v>
      </c>
      <c r="D55">
        <v>10.5146</v>
      </c>
      <c r="E55">
        <v>1.0781000000000001</v>
      </c>
      <c r="F55">
        <v>1.5652999999999999</v>
      </c>
      <c r="G55">
        <v>1.8525</v>
      </c>
      <c r="K55" s="17"/>
      <c r="N55" s="12"/>
      <c r="O55" s="12"/>
      <c r="Y55" s="11"/>
    </row>
    <row r="56" spans="1:25">
      <c r="A56" s="581" t="s">
        <v>1574</v>
      </c>
      <c r="B56">
        <v>1.7306999999999999</v>
      </c>
      <c r="C56">
        <v>0.52980000000000005</v>
      </c>
      <c r="D56">
        <v>16.3523</v>
      </c>
      <c r="E56">
        <v>1.1325000000000001</v>
      </c>
      <c r="F56">
        <v>1.4296</v>
      </c>
      <c r="G56">
        <v>1.3512</v>
      </c>
      <c r="K56" s="17"/>
      <c r="Y56" s="11"/>
    </row>
    <row r="57" spans="1:25">
      <c r="A57" s="581" t="s">
        <v>1575</v>
      </c>
      <c r="B57">
        <v>1.7991999999999999</v>
      </c>
      <c r="C57">
        <v>0.53510000000000002</v>
      </c>
      <c r="D57">
        <v>20.849299999999999</v>
      </c>
      <c r="E57">
        <v>1.1241000000000001</v>
      </c>
      <c r="F57">
        <v>1.4886999999999999</v>
      </c>
      <c r="G57">
        <v>1.2837000000000001</v>
      </c>
      <c r="Y57" s="11"/>
    </row>
    <row r="58" spans="1:25">
      <c r="A58" s="581" t="s">
        <v>1576</v>
      </c>
      <c r="B58">
        <v>1.7313000000000001</v>
      </c>
      <c r="C58">
        <v>0.47449999999999998</v>
      </c>
      <c r="D58">
        <v>15.5923</v>
      </c>
      <c r="E58">
        <v>1.052</v>
      </c>
      <c r="F58">
        <v>1.5478000000000001</v>
      </c>
      <c r="G58">
        <v>1.4043000000000001</v>
      </c>
      <c r="Y58" s="11"/>
    </row>
    <row r="59" spans="1:25">
      <c r="A59" s="581" t="s">
        <v>1577</v>
      </c>
      <c r="B59">
        <v>1.6482000000000001</v>
      </c>
      <c r="C59">
        <v>0.42809999999999998</v>
      </c>
      <c r="D59">
        <v>20.0853</v>
      </c>
      <c r="E59">
        <v>1.0515000000000001</v>
      </c>
      <c r="F59">
        <v>1.4858</v>
      </c>
      <c r="G59">
        <v>1.2194</v>
      </c>
      <c r="N59" s="12"/>
      <c r="O59" s="14"/>
      <c r="Q59" s="12"/>
      <c r="Y59" s="11"/>
    </row>
    <row r="60" spans="1:25">
      <c r="A60" s="581" t="s">
        <v>1578</v>
      </c>
      <c r="B60">
        <v>1.7388999999999999</v>
      </c>
      <c r="C60">
        <v>0.40129999999999999</v>
      </c>
      <c r="D60">
        <v>11.0985</v>
      </c>
      <c r="E60">
        <v>0.99880000000000002</v>
      </c>
      <c r="F60">
        <v>1.7451000000000001</v>
      </c>
      <c r="G60">
        <v>1.6186</v>
      </c>
      <c r="N60" s="12"/>
      <c r="O60" s="14"/>
      <c r="Q60" s="12"/>
      <c r="Y60" s="11"/>
    </row>
    <row r="61" spans="1:25">
      <c r="A61" s="581" t="s">
        <v>1579</v>
      </c>
      <c r="B61">
        <v>1.6346000000000001</v>
      </c>
      <c r="C61">
        <v>0.38750000000000001</v>
      </c>
      <c r="D61">
        <v>16.458400000000001</v>
      </c>
      <c r="E61">
        <v>0.93089999999999995</v>
      </c>
      <c r="F61">
        <v>1.552</v>
      </c>
      <c r="G61">
        <v>1.2646999999999999</v>
      </c>
      <c r="Y61" s="11"/>
    </row>
    <row r="62" spans="1:25">
      <c r="A62" s="581" t="s">
        <v>1580</v>
      </c>
      <c r="B62">
        <v>1.8552</v>
      </c>
      <c r="C62">
        <v>0.51729999999999998</v>
      </c>
      <c r="D62">
        <v>13.1294</v>
      </c>
      <c r="E62">
        <v>1.0723</v>
      </c>
      <c r="F62">
        <v>1.5885</v>
      </c>
      <c r="G62">
        <v>1.571</v>
      </c>
      <c r="Q62" s="12"/>
      <c r="Y62" s="11"/>
    </row>
    <row r="63" spans="1:25">
      <c r="A63" s="581" t="s">
        <v>1581</v>
      </c>
      <c r="B63">
        <v>1.0322</v>
      </c>
      <c r="C63">
        <v>0.23230000000000001</v>
      </c>
      <c r="D63">
        <v>6.4424999999999999</v>
      </c>
      <c r="E63">
        <v>0.64100000000000001</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R359"/>
  <sheetViews>
    <sheetView view="pageBreakPreview" zoomScaleSheetLayoutView="100" workbookViewId="0">
      <selection activeCell="A10" sqref="A10"/>
    </sheetView>
  </sheetViews>
  <sheetFormatPr defaultColWidth="12.44140625" defaultRowHeight="13.2"/>
  <cols>
    <col min="1" max="1" width="6.88671875" style="382" customWidth="1"/>
    <col min="2" max="2" width="4.88671875" style="381" customWidth="1"/>
    <col min="3" max="3" width="3.88671875" style="381" customWidth="1"/>
    <col min="4" max="4" width="58.44140625" style="381" customWidth="1"/>
    <col min="5" max="5" width="16.33203125" style="275" customWidth="1"/>
    <col min="6" max="6" width="12.44140625" style="304" customWidth="1"/>
    <col min="7" max="7" width="13.6640625" style="354" customWidth="1"/>
    <col min="8" max="8" width="17.5546875" style="304" customWidth="1"/>
    <col min="9" max="9" width="2.109375" style="304" customWidth="1"/>
    <col min="10" max="10" width="17.5546875" style="304" customWidth="1"/>
    <col min="11" max="12" width="17.5546875" style="265" customWidth="1"/>
    <col min="13" max="13" width="13.6640625" style="265" customWidth="1"/>
    <col min="14" max="14" width="12.44140625" style="265" hidden="1" customWidth="1"/>
    <col min="15" max="15" width="4.6640625" style="265" customWidth="1"/>
    <col min="16" max="16" width="12.44140625" style="265" customWidth="1"/>
    <col min="17" max="17" width="15" style="265" customWidth="1"/>
    <col min="18" max="18" width="16.33203125" style="265" customWidth="1"/>
    <col min="19" max="16384" width="12.44140625" style="265"/>
  </cols>
  <sheetData>
    <row r="1" spans="1:14" ht="16.95" customHeight="1" thickBot="1">
      <c r="A1" s="656" t="s">
        <v>1336</v>
      </c>
      <c r="B1" s="656"/>
      <c r="C1" s="656"/>
      <c r="D1" s="656"/>
      <c r="E1" s="656"/>
      <c r="F1" s="656"/>
      <c r="G1" s="656"/>
      <c r="H1" s="656"/>
      <c r="I1" s="264"/>
      <c r="J1" s="264"/>
    </row>
    <row r="2" spans="1:14" ht="13.95" customHeight="1" thickBot="1">
      <c r="A2" s="266"/>
      <c r="B2" s="266"/>
      <c r="C2" s="266"/>
      <c r="D2" s="268"/>
      <c r="E2" s="267"/>
      <c r="F2" s="267"/>
      <c r="G2" s="267"/>
      <c r="H2" s="267"/>
      <c r="I2" s="267"/>
      <c r="J2" s="478" t="s">
        <v>1337</v>
      </c>
      <c r="N2" s="265" t="s">
        <v>1338</v>
      </c>
    </row>
    <row r="3" spans="1:14" ht="13.95" customHeight="1" thickBot="1">
      <c r="A3" s="657"/>
      <c r="B3" s="657"/>
      <c r="C3" s="657"/>
      <c r="D3" s="265"/>
      <c r="E3" s="269" t="s">
        <v>1339</v>
      </c>
      <c r="F3" s="270"/>
      <c r="G3" s="269" t="s">
        <v>1340</v>
      </c>
      <c r="H3" s="271"/>
      <c r="I3" s="272"/>
      <c r="J3" s="479" t="s">
        <v>1341</v>
      </c>
    </row>
    <row r="4" spans="1:14" ht="13.95" customHeight="1" thickBot="1">
      <c r="A4" s="273"/>
      <c r="B4" s="273"/>
      <c r="C4" s="273"/>
      <c r="D4" s="274" t="s">
        <v>1342</v>
      </c>
      <c r="F4" s="265"/>
      <c r="G4" s="269"/>
      <c r="H4" s="272"/>
      <c r="I4" s="272"/>
      <c r="J4" s="272"/>
    </row>
    <row r="5" spans="1:14" ht="14.1" customHeight="1">
      <c r="A5" s="272"/>
      <c r="B5" s="276"/>
      <c r="C5" s="276"/>
      <c r="D5" s="272"/>
      <c r="E5" s="478" t="s">
        <v>1343</v>
      </c>
      <c r="F5" s="277"/>
      <c r="G5" s="278"/>
      <c r="H5" s="279"/>
      <c r="I5" s="279"/>
      <c r="J5" s="463" t="s">
        <v>1344</v>
      </c>
      <c r="K5" s="464"/>
      <c r="L5" s="465"/>
    </row>
    <row r="6" spans="1:14" ht="14.1" customHeight="1" thickBot="1">
      <c r="A6" s="272"/>
      <c r="B6" s="276"/>
      <c r="C6" s="276"/>
      <c r="D6" s="469" t="s">
        <v>1345</v>
      </c>
      <c r="E6" s="479" t="s">
        <v>1346</v>
      </c>
      <c r="F6" s="476"/>
      <c r="G6" s="476"/>
      <c r="H6" s="476"/>
      <c r="I6" s="280"/>
      <c r="J6" s="463" t="s">
        <v>1347</v>
      </c>
      <c r="K6" s="464" t="s">
        <v>1348</v>
      </c>
      <c r="L6" s="465" t="s">
        <v>1304</v>
      </c>
    </row>
    <row r="7" spans="1:14" ht="12.6" customHeight="1">
      <c r="A7" s="272"/>
      <c r="B7" s="276"/>
      <c r="C7" s="276"/>
      <c r="D7" s="272"/>
      <c r="F7" s="281"/>
      <c r="G7" s="282"/>
      <c r="H7" s="279"/>
      <c r="I7" s="279"/>
      <c r="J7" s="279"/>
    </row>
    <row r="8" spans="1:14" s="274" customFormat="1" ht="16.2" customHeight="1">
      <c r="A8" s="283" t="s">
        <v>1349</v>
      </c>
      <c r="B8" s="284"/>
      <c r="C8" s="284"/>
      <c r="D8" s="463" t="s">
        <v>1350</v>
      </c>
      <c r="E8" s="464"/>
      <c r="F8" s="465"/>
      <c r="G8" s="466"/>
      <c r="H8" s="467"/>
      <c r="I8" s="285"/>
      <c r="J8" s="463"/>
      <c r="K8" s="464"/>
      <c r="L8" s="465"/>
    </row>
    <row r="9" spans="1:14" ht="12" customHeight="1">
      <c r="A9" s="283"/>
      <c r="B9" s="284">
        <v>1</v>
      </c>
      <c r="C9" s="284"/>
      <c r="D9" s="286" t="s">
        <v>1347</v>
      </c>
      <c r="E9" s="287"/>
      <c r="F9" s="288"/>
      <c r="G9" s="289"/>
      <c r="H9" s="290">
        <v>0</v>
      </c>
      <c r="I9" s="291"/>
      <c r="J9" s="290">
        <f>IF($E$9="land",$H$9,IF($E$9="ineligible",0,0))</f>
        <v>0</v>
      </c>
      <c r="K9" s="290">
        <f>IF($E9="hard",$H9,IF($E9="ineligible",0,0))</f>
        <v>0</v>
      </c>
      <c r="L9" s="290">
        <f>IF($E9="soft",$H9,IF($E9="ineligible",0,0))</f>
        <v>0</v>
      </c>
    </row>
    <row r="10" spans="1:14" ht="12" customHeight="1">
      <c r="A10" s="283"/>
      <c r="B10" s="284">
        <f>+B9+1</f>
        <v>2</v>
      </c>
      <c r="C10" s="284"/>
      <c r="D10" s="286" t="s">
        <v>1351</v>
      </c>
      <c r="E10" s="287"/>
      <c r="F10" s="288"/>
      <c r="G10" s="289"/>
      <c r="H10" s="290"/>
      <c r="I10" s="291"/>
      <c r="J10" s="290">
        <f>IF($E$9="land",$H$9,IF($E$9="ineligible",0,0))</f>
        <v>0</v>
      </c>
      <c r="K10" s="290">
        <f>IF($E10="hard",$H10,IF($E10="ineligible",0,0))</f>
        <v>0</v>
      </c>
      <c r="L10" s="290">
        <f>IF($E10="soft",$H10,IF($E10="ineligible",0,0))</f>
        <v>0</v>
      </c>
    </row>
    <row r="11" spans="1:14" ht="12" customHeight="1">
      <c r="A11" s="283"/>
      <c r="B11" s="284">
        <f t="shared" ref="B11:B15" si="0">+B10+1</f>
        <v>3</v>
      </c>
      <c r="C11" s="284"/>
      <c r="D11" s="286" t="s">
        <v>1352</v>
      </c>
      <c r="E11" s="287"/>
      <c r="F11" s="288"/>
      <c r="G11" s="289"/>
      <c r="H11" s="290"/>
      <c r="I11" s="291"/>
      <c r="J11" s="290">
        <f t="shared" ref="J11:J15" si="1">IF(E11="land",H11,IF(E11="ineligible",0,0))</f>
        <v>0</v>
      </c>
      <c r="K11" s="290">
        <f t="shared" ref="K11:K15" si="2">IF($E11="hard",$H11,IF($E11="ineligible",0,0))</f>
        <v>0</v>
      </c>
      <c r="L11" s="290">
        <f t="shared" ref="L11:L15" si="3">IF($E11="soft",$H11,IF($E11="ineligible",0,0))</f>
        <v>0</v>
      </c>
    </row>
    <row r="12" spans="1:14" ht="14.1" customHeight="1">
      <c r="A12" s="283"/>
      <c r="B12" s="284">
        <f t="shared" si="0"/>
        <v>4</v>
      </c>
      <c r="C12" s="284"/>
      <c r="D12" s="286" t="s">
        <v>1353</v>
      </c>
      <c r="E12" s="287"/>
      <c r="F12" s="292"/>
      <c r="G12" s="289"/>
      <c r="H12" s="290"/>
      <c r="I12" s="291"/>
      <c r="J12" s="290">
        <f t="shared" si="1"/>
        <v>0</v>
      </c>
      <c r="K12" s="290">
        <f t="shared" si="2"/>
        <v>0</v>
      </c>
      <c r="L12" s="290">
        <f t="shared" si="3"/>
        <v>0</v>
      </c>
    </row>
    <row r="13" spans="1:14" ht="14.1" customHeight="1">
      <c r="A13" s="283"/>
      <c r="B13" s="284">
        <f t="shared" si="0"/>
        <v>5</v>
      </c>
      <c r="C13" s="284"/>
      <c r="D13" s="286" t="s">
        <v>1309</v>
      </c>
      <c r="E13" s="287"/>
      <c r="F13" s="292"/>
      <c r="G13" s="289"/>
      <c r="H13" s="290"/>
      <c r="I13" s="291"/>
      <c r="J13" s="290">
        <f t="shared" si="1"/>
        <v>0</v>
      </c>
      <c r="K13" s="290">
        <f t="shared" si="2"/>
        <v>0</v>
      </c>
      <c r="L13" s="290">
        <f t="shared" si="3"/>
        <v>0</v>
      </c>
    </row>
    <row r="14" spans="1:14" ht="14.1" customHeight="1">
      <c r="A14" s="283"/>
      <c r="B14" s="284">
        <f t="shared" si="0"/>
        <v>6</v>
      </c>
      <c r="C14" s="284"/>
      <c r="D14" s="286" t="s">
        <v>1354</v>
      </c>
      <c r="E14" s="287"/>
      <c r="F14" s="292"/>
      <c r="G14" s="289"/>
      <c r="H14" s="290"/>
      <c r="I14" s="291"/>
      <c r="J14" s="290">
        <f t="shared" si="1"/>
        <v>0</v>
      </c>
      <c r="K14" s="290">
        <f t="shared" si="2"/>
        <v>0</v>
      </c>
      <c r="L14" s="290">
        <f t="shared" si="3"/>
        <v>0</v>
      </c>
    </row>
    <row r="15" spans="1:14" ht="14.1" customHeight="1" thickBot="1">
      <c r="A15" s="283"/>
      <c r="B15" s="284">
        <f t="shared" si="0"/>
        <v>7</v>
      </c>
      <c r="C15" s="284"/>
      <c r="D15" s="293" t="s">
        <v>1354</v>
      </c>
      <c r="E15" s="294"/>
      <c r="F15" s="295"/>
      <c r="G15" s="296"/>
      <c r="H15" s="297"/>
      <c r="I15" s="291"/>
      <c r="J15" s="290">
        <f t="shared" si="1"/>
        <v>0</v>
      </c>
      <c r="K15" s="290">
        <f t="shared" si="2"/>
        <v>0</v>
      </c>
      <c r="L15" s="290">
        <f t="shared" si="3"/>
        <v>0</v>
      </c>
    </row>
    <row r="16" spans="1:14" s="274" customFormat="1" ht="14.1" customHeight="1" thickTop="1">
      <c r="A16" s="283"/>
      <c r="B16" s="284"/>
      <c r="C16" s="284"/>
      <c r="D16" s="269" t="s">
        <v>1355</v>
      </c>
      <c r="E16" s="280"/>
      <c r="F16" s="298"/>
      <c r="G16" s="299"/>
      <c r="H16" s="477">
        <f>SUM(H9:H15)</f>
        <v>0</v>
      </c>
      <c r="I16" s="300"/>
      <c r="J16" s="300"/>
    </row>
    <row r="17" spans="1:12" ht="14.1" customHeight="1">
      <c r="A17" s="283"/>
      <c r="B17" s="284"/>
      <c r="C17" s="284"/>
      <c r="D17" s="276"/>
      <c r="E17" s="287"/>
      <c r="F17" s="288"/>
      <c r="G17" s="289"/>
      <c r="H17" s="291"/>
      <c r="I17" s="291"/>
      <c r="J17" s="291"/>
    </row>
    <row r="18" spans="1:12" ht="14.1" customHeight="1">
      <c r="A18" s="283" t="s">
        <v>1356</v>
      </c>
      <c r="B18" s="284"/>
      <c r="C18" s="284"/>
      <c r="D18" s="463" t="s">
        <v>1357</v>
      </c>
      <c r="E18" s="464"/>
      <c r="F18" s="465"/>
      <c r="G18" s="466"/>
      <c r="H18" s="467"/>
      <c r="I18" s="291"/>
      <c r="J18" s="463"/>
      <c r="K18" s="464"/>
      <c r="L18" s="465"/>
    </row>
    <row r="19" spans="1:12" ht="14.1" customHeight="1">
      <c r="A19" s="283"/>
      <c r="B19" s="284">
        <v>1</v>
      </c>
      <c r="C19" s="284"/>
      <c r="D19" s="286" t="s">
        <v>1358</v>
      </c>
      <c r="E19" s="287"/>
      <c r="F19" s="288"/>
      <c r="G19" s="289"/>
      <c r="H19" s="290"/>
      <c r="I19" s="291"/>
      <c r="J19" s="290">
        <f t="shared" ref="J19:J21" si="4">IF(E19="land",H19,IF(E19="ineligible",0,0))</f>
        <v>0</v>
      </c>
      <c r="K19" s="290">
        <f t="shared" ref="K19:K33" si="5">IF($E19="hard",$H19,IF($E19="ineligible",0,0))</f>
        <v>0</v>
      </c>
      <c r="L19" s="290">
        <f t="shared" ref="L19:L21" si="6">IF($E19="soft",$H19,IF($E19="ineligible",0,0))</f>
        <v>0</v>
      </c>
    </row>
    <row r="20" spans="1:12" ht="14.1" customHeight="1">
      <c r="A20" s="283"/>
      <c r="B20" s="284">
        <f>+B19+1</f>
        <v>2</v>
      </c>
      <c r="C20" s="284"/>
      <c r="D20" s="286" t="s">
        <v>1359</v>
      </c>
      <c r="E20" s="287"/>
      <c r="F20" s="288"/>
      <c r="G20" s="289"/>
      <c r="H20" s="290"/>
      <c r="I20" s="291"/>
      <c r="J20" s="290">
        <f t="shared" si="4"/>
        <v>0</v>
      </c>
      <c r="K20" s="290">
        <f t="shared" si="5"/>
        <v>0</v>
      </c>
      <c r="L20" s="290">
        <f t="shared" si="6"/>
        <v>0</v>
      </c>
    </row>
    <row r="21" spans="1:12" ht="14.1" customHeight="1">
      <c r="A21" s="283"/>
      <c r="B21" s="284">
        <f t="shared" ref="B21:B33" si="7">+B20+1</f>
        <v>3</v>
      </c>
      <c r="C21" s="284"/>
      <c r="D21" s="286" t="s">
        <v>1360</v>
      </c>
      <c r="E21" s="287"/>
      <c r="F21" s="288"/>
      <c r="G21" s="289"/>
      <c r="H21" s="290"/>
      <c r="I21" s="291"/>
      <c r="J21" s="290">
        <f t="shared" si="4"/>
        <v>0</v>
      </c>
      <c r="K21" s="290">
        <f t="shared" si="5"/>
        <v>0</v>
      </c>
      <c r="L21" s="290">
        <f t="shared" si="6"/>
        <v>0</v>
      </c>
    </row>
    <row r="22" spans="1:12" ht="14.1" customHeight="1">
      <c r="A22" s="283"/>
      <c r="B22" s="284">
        <f t="shared" si="7"/>
        <v>4</v>
      </c>
      <c r="C22" s="284"/>
      <c r="D22" s="469" t="s">
        <v>1361</v>
      </c>
      <c r="E22" s="470"/>
      <c r="F22" s="471"/>
      <c r="G22" s="472"/>
      <c r="H22" s="473"/>
      <c r="I22" s="291"/>
      <c r="J22" s="468"/>
      <c r="K22" s="468">
        <f t="shared" si="5"/>
        <v>0</v>
      </c>
      <c r="L22" s="468"/>
    </row>
    <row r="23" spans="1:12" ht="14.1" customHeight="1">
      <c r="A23" s="283"/>
      <c r="B23" s="284">
        <f t="shared" si="7"/>
        <v>5</v>
      </c>
      <c r="C23" s="284"/>
      <c r="D23" s="301" t="s">
        <v>1362</v>
      </c>
      <c r="E23" s="287"/>
      <c r="F23" s="288"/>
      <c r="G23" s="289"/>
      <c r="H23" s="290"/>
      <c r="I23" s="291"/>
      <c r="J23" s="290">
        <f t="shared" ref="J23:J33" si="8">IF(E23="land",H23,IF(E23="ineligible",0,0))</f>
        <v>0</v>
      </c>
      <c r="K23" s="290">
        <f t="shared" si="5"/>
        <v>0</v>
      </c>
      <c r="L23" s="290">
        <f t="shared" ref="L23:L33" si="9">IF($E23="soft",$H23,IF($E23="ineligible",0,0))</f>
        <v>0</v>
      </c>
    </row>
    <row r="24" spans="1:12" ht="14.1" customHeight="1">
      <c r="A24" s="283"/>
      <c r="B24" s="284">
        <f t="shared" si="7"/>
        <v>6</v>
      </c>
      <c r="C24" s="284"/>
      <c r="D24" s="301" t="s">
        <v>1363</v>
      </c>
      <c r="E24" s="287"/>
      <c r="F24" s="288"/>
      <c r="G24" s="289"/>
      <c r="H24" s="290"/>
      <c r="I24" s="291"/>
      <c r="J24" s="290">
        <f t="shared" si="8"/>
        <v>0</v>
      </c>
      <c r="K24" s="290">
        <f t="shared" si="5"/>
        <v>0</v>
      </c>
      <c r="L24" s="290">
        <f t="shared" si="9"/>
        <v>0</v>
      </c>
    </row>
    <row r="25" spans="1:12" ht="14.1" customHeight="1">
      <c r="A25" s="283"/>
      <c r="B25" s="284">
        <f t="shared" si="7"/>
        <v>7</v>
      </c>
      <c r="C25" s="284"/>
      <c r="D25" s="286" t="s">
        <v>1364</v>
      </c>
      <c r="E25" s="287"/>
      <c r="F25" s="288"/>
      <c r="G25" s="289"/>
      <c r="H25" s="290"/>
      <c r="I25" s="291"/>
      <c r="J25" s="290">
        <f t="shared" si="8"/>
        <v>0</v>
      </c>
      <c r="K25" s="290">
        <f t="shared" si="5"/>
        <v>0</v>
      </c>
      <c r="L25" s="290">
        <f t="shared" si="9"/>
        <v>0</v>
      </c>
    </row>
    <row r="26" spans="1:12" ht="14.1" customHeight="1">
      <c r="A26" s="283"/>
      <c r="B26" s="284">
        <f t="shared" si="7"/>
        <v>8</v>
      </c>
      <c r="C26" s="284"/>
      <c r="D26" s="286" t="s">
        <v>1365</v>
      </c>
      <c r="E26" s="287"/>
      <c r="F26" s="288"/>
      <c r="G26" s="289"/>
      <c r="H26" s="290"/>
      <c r="I26" s="291"/>
      <c r="J26" s="290">
        <f t="shared" si="8"/>
        <v>0</v>
      </c>
      <c r="K26" s="290">
        <f t="shared" si="5"/>
        <v>0</v>
      </c>
      <c r="L26" s="290">
        <f t="shared" si="9"/>
        <v>0</v>
      </c>
    </row>
    <row r="27" spans="1:12" ht="14.1" customHeight="1">
      <c r="A27" s="283"/>
      <c r="B27" s="284">
        <f t="shared" si="7"/>
        <v>9</v>
      </c>
      <c r="C27" s="284"/>
      <c r="D27" s="286" t="s">
        <v>1366</v>
      </c>
      <c r="E27" s="287"/>
      <c r="F27" s="288"/>
      <c r="G27" s="289"/>
      <c r="H27" s="290"/>
      <c r="I27" s="291"/>
      <c r="J27" s="290">
        <f t="shared" si="8"/>
        <v>0</v>
      </c>
      <c r="K27" s="290">
        <f t="shared" si="5"/>
        <v>0</v>
      </c>
      <c r="L27" s="290">
        <f t="shared" si="9"/>
        <v>0</v>
      </c>
    </row>
    <row r="28" spans="1:12" ht="14.1" customHeight="1">
      <c r="A28" s="283"/>
      <c r="B28" s="284">
        <f t="shared" si="7"/>
        <v>10</v>
      </c>
      <c r="C28" s="284"/>
      <c r="D28" s="286" t="s">
        <v>1367</v>
      </c>
      <c r="E28" s="287"/>
      <c r="F28" s="288"/>
      <c r="G28" s="289"/>
      <c r="H28" s="290"/>
      <c r="I28" s="291"/>
      <c r="J28" s="290">
        <f t="shared" si="8"/>
        <v>0</v>
      </c>
      <c r="K28" s="290">
        <f t="shared" si="5"/>
        <v>0</v>
      </c>
      <c r="L28" s="290">
        <f t="shared" si="9"/>
        <v>0</v>
      </c>
    </row>
    <row r="29" spans="1:12" ht="14.1" customHeight="1">
      <c r="A29" s="283"/>
      <c r="B29" s="284">
        <f t="shared" si="7"/>
        <v>11</v>
      </c>
      <c r="C29" s="284"/>
      <c r="D29" s="286" t="s">
        <v>1368</v>
      </c>
      <c r="E29" s="287"/>
      <c r="F29" s="292"/>
      <c r="G29" s="289"/>
      <c r="H29" s="290"/>
      <c r="I29" s="291"/>
      <c r="J29" s="290">
        <f t="shared" si="8"/>
        <v>0</v>
      </c>
      <c r="K29" s="290">
        <f t="shared" si="5"/>
        <v>0</v>
      </c>
      <c r="L29" s="290">
        <f t="shared" si="9"/>
        <v>0</v>
      </c>
    </row>
    <row r="30" spans="1:12" ht="14.1" customHeight="1">
      <c r="A30" s="283"/>
      <c r="B30" s="284">
        <f t="shared" si="7"/>
        <v>12</v>
      </c>
      <c r="C30" s="284"/>
      <c r="D30" s="286" t="s">
        <v>1369</v>
      </c>
      <c r="E30" s="287"/>
      <c r="F30" s="292"/>
      <c r="G30" s="289"/>
      <c r="H30" s="290"/>
      <c r="I30" s="291"/>
      <c r="J30" s="290">
        <f t="shared" si="8"/>
        <v>0</v>
      </c>
      <c r="K30" s="290">
        <f t="shared" si="5"/>
        <v>0</v>
      </c>
      <c r="L30" s="290">
        <f t="shared" si="9"/>
        <v>0</v>
      </c>
    </row>
    <row r="31" spans="1:12" ht="14.1" customHeight="1">
      <c r="A31" s="283"/>
      <c r="B31" s="284">
        <f t="shared" si="7"/>
        <v>13</v>
      </c>
      <c r="C31" s="284"/>
      <c r="D31" s="286" t="s">
        <v>1370</v>
      </c>
      <c r="E31" s="287"/>
      <c r="F31" s="292"/>
      <c r="G31" s="289"/>
      <c r="H31" s="290"/>
      <c r="I31" s="291"/>
      <c r="J31" s="290">
        <f t="shared" si="8"/>
        <v>0</v>
      </c>
      <c r="K31" s="290">
        <f t="shared" si="5"/>
        <v>0</v>
      </c>
      <c r="L31" s="290">
        <f t="shared" si="9"/>
        <v>0</v>
      </c>
    </row>
    <row r="32" spans="1:12" ht="14.1" customHeight="1">
      <c r="A32" s="283"/>
      <c r="B32" s="284">
        <f t="shared" si="7"/>
        <v>14</v>
      </c>
      <c r="C32" s="284"/>
      <c r="D32" s="286" t="s">
        <v>1371</v>
      </c>
      <c r="E32" s="287"/>
      <c r="F32" s="292"/>
      <c r="G32" s="289"/>
      <c r="H32" s="290"/>
      <c r="I32" s="291"/>
      <c r="J32" s="290">
        <f t="shared" si="8"/>
        <v>0</v>
      </c>
      <c r="K32" s="290">
        <f t="shared" si="5"/>
        <v>0</v>
      </c>
      <c r="L32" s="290">
        <f t="shared" si="9"/>
        <v>0</v>
      </c>
    </row>
    <row r="33" spans="1:12" ht="14.1" customHeight="1" thickBot="1">
      <c r="A33" s="283"/>
      <c r="B33" s="284">
        <f t="shared" si="7"/>
        <v>15</v>
      </c>
      <c r="C33" s="284"/>
      <c r="D33" s="293" t="s">
        <v>1371</v>
      </c>
      <c r="E33" s="294"/>
      <c r="F33" s="295"/>
      <c r="G33" s="296"/>
      <c r="H33" s="297"/>
      <c r="I33" s="291"/>
      <c r="J33" s="290">
        <f t="shared" si="8"/>
        <v>0</v>
      </c>
      <c r="K33" s="290">
        <f t="shared" si="5"/>
        <v>0</v>
      </c>
      <c r="L33" s="290">
        <f t="shared" si="9"/>
        <v>0</v>
      </c>
    </row>
    <row r="34" spans="1:12" ht="14.1" customHeight="1" thickTop="1">
      <c r="A34" s="283"/>
      <c r="B34" s="284"/>
      <c r="C34" s="284"/>
      <c r="D34" s="269" t="s">
        <v>1372</v>
      </c>
      <c r="E34" s="280"/>
      <c r="F34" s="302"/>
      <c r="G34" s="303"/>
      <c r="H34" s="477">
        <f>SUM(H19:H33)</f>
        <v>0</v>
      </c>
      <c r="I34" s="300"/>
      <c r="J34" s="300"/>
    </row>
    <row r="35" spans="1:12" s="274" customFormat="1" ht="14.1" customHeight="1">
      <c r="A35" s="283"/>
      <c r="B35" s="284"/>
      <c r="C35" s="284"/>
      <c r="D35" s="276"/>
      <c r="E35" s="287"/>
      <c r="F35" s="288"/>
      <c r="G35" s="289"/>
      <c r="H35" s="291"/>
      <c r="I35" s="291"/>
      <c r="J35" s="291"/>
    </row>
    <row r="36" spans="1:12" ht="14.1" customHeight="1">
      <c r="A36" s="283" t="s">
        <v>1373</v>
      </c>
      <c r="B36" s="284"/>
      <c r="C36" s="284"/>
      <c r="D36" s="463" t="s">
        <v>1374</v>
      </c>
      <c r="E36" s="464"/>
      <c r="F36" s="465"/>
      <c r="G36" s="466"/>
      <c r="H36" s="467"/>
      <c r="I36" s="291"/>
      <c r="J36" s="463"/>
      <c r="K36" s="464"/>
      <c r="L36" s="465"/>
    </row>
    <row r="37" spans="1:12" ht="14.1" customHeight="1">
      <c r="A37" s="283"/>
      <c r="B37" s="284">
        <v>1</v>
      </c>
      <c r="C37" s="284"/>
      <c r="D37" s="286" t="s">
        <v>1375</v>
      </c>
      <c r="E37" s="287"/>
      <c r="F37" s="288"/>
      <c r="G37" s="289"/>
      <c r="H37" s="290"/>
      <c r="I37" s="291"/>
      <c r="J37" s="290">
        <f t="shared" ref="J37:J48" si="10">IF(E37="land",H37,IF(E37="ineligible",0,0))</f>
        <v>0</v>
      </c>
      <c r="K37" s="290">
        <f t="shared" ref="K37:K48" si="11">IF($E37="hard",$H37,IF($E37="ineligible",0,0))</f>
        <v>0</v>
      </c>
      <c r="L37" s="290">
        <f t="shared" ref="L37:L48" si="12">IF($E37="soft",$H37,IF($E37="ineligible",0,0))</f>
        <v>0</v>
      </c>
    </row>
    <row r="38" spans="1:12" ht="14.1" customHeight="1">
      <c r="A38" s="283"/>
      <c r="B38" s="284">
        <f>+B37+1</f>
        <v>2</v>
      </c>
      <c r="C38" s="284"/>
      <c r="D38" s="286" t="s">
        <v>1376</v>
      </c>
      <c r="E38" s="287"/>
      <c r="F38" s="288"/>
      <c r="G38" s="289"/>
      <c r="H38" s="290"/>
      <c r="I38" s="291"/>
      <c r="J38" s="290">
        <f t="shared" si="10"/>
        <v>0</v>
      </c>
      <c r="K38" s="290">
        <f t="shared" si="11"/>
        <v>0</v>
      </c>
      <c r="L38" s="290">
        <f t="shared" si="12"/>
        <v>0</v>
      </c>
    </row>
    <row r="39" spans="1:12" ht="14.1" customHeight="1">
      <c r="A39" s="283"/>
      <c r="B39" s="284">
        <f t="shared" ref="B39:B48" si="13">+B38+1</f>
        <v>3</v>
      </c>
      <c r="C39" s="284"/>
      <c r="D39" s="286" t="s">
        <v>1377</v>
      </c>
      <c r="E39" s="287"/>
      <c r="F39" s="288"/>
      <c r="G39" s="289"/>
      <c r="H39" s="290"/>
      <c r="I39" s="291"/>
      <c r="J39" s="290">
        <f t="shared" si="10"/>
        <v>0</v>
      </c>
      <c r="K39" s="290">
        <f t="shared" si="11"/>
        <v>0</v>
      </c>
      <c r="L39" s="290">
        <f t="shared" si="12"/>
        <v>0</v>
      </c>
    </row>
    <row r="40" spans="1:12" ht="14.1" customHeight="1">
      <c r="A40" s="283"/>
      <c r="B40" s="284">
        <f t="shared" si="13"/>
        <v>4</v>
      </c>
      <c r="C40" s="284"/>
      <c r="D40" s="286" t="s">
        <v>1378</v>
      </c>
      <c r="E40" s="287"/>
      <c r="F40" s="292"/>
      <c r="G40" s="289"/>
      <c r="H40" s="290"/>
      <c r="I40" s="291"/>
      <c r="J40" s="290">
        <f t="shared" si="10"/>
        <v>0</v>
      </c>
      <c r="K40" s="290">
        <f t="shared" si="11"/>
        <v>0</v>
      </c>
      <c r="L40" s="290">
        <f t="shared" si="12"/>
        <v>0</v>
      </c>
    </row>
    <row r="41" spans="1:12" ht="14.1" customHeight="1">
      <c r="A41" s="283"/>
      <c r="B41" s="284">
        <f t="shared" si="13"/>
        <v>5</v>
      </c>
      <c r="C41" s="284"/>
      <c r="D41" s="286" t="s">
        <v>1379</v>
      </c>
      <c r="E41" s="287"/>
      <c r="F41" s="292"/>
      <c r="G41" s="289"/>
      <c r="H41" s="290"/>
      <c r="I41" s="291"/>
      <c r="J41" s="290">
        <f t="shared" si="10"/>
        <v>0</v>
      </c>
      <c r="K41" s="290">
        <f t="shared" si="11"/>
        <v>0</v>
      </c>
      <c r="L41" s="290">
        <f t="shared" si="12"/>
        <v>0</v>
      </c>
    </row>
    <row r="42" spans="1:12" ht="14.1" customHeight="1">
      <c r="A42" s="283"/>
      <c r="B42" s="284">
        <f t="shared" si="13"/>
        <v>6</v>
      </c>
      <c r="C42" s="284"/>
      <c r="D42" s="286" t="s">
        <v>1380</v>
      </c>
      <c r="E42" s="287"/>
      <c r="F42" s="292"/>
      <c r="G42" s="289"/>
      <c r="H42" s="290"/>
      <c r="I42" s="291"/>
      <c r="J42" s="290">
        <f t="shared" si="10"/>
        <v>0</v>
      </c>
      <c r="K42" s="290">
        <f t="shared" si="11"/>
        <v>0</v>
      </c>
      <c r="L42" s="290">
        <f t="shared" si="12"/>
        <v>0</v>
      </c>
    </row>
    <row r="43" spans="1:12" ht="14.1" customHeight="1">
      <c r="A43" s="283"/>
      <c r="B43" s="284">
        <f t="shared" si="13"/>
        <v>7</v>
      </c>
      <c r="C43" s="284"/>
      <c r="D43" s="286" t="s">
        <v>1381</v>
      </c>
      <c r="E43" s="287"/>
      <c r="F43" s="292"/>
      <c r="G43" s="289"/>
      <c r="H43" s="290"/>
      <c r="I43" s="291"/>
      <c r="J43" s="290">
        <f t="shared" si="10"/>
        <v>0</v>
      </c>
      <c r="K43" s="290">
        <f t="shared" si="11"/>
        <v>0</v>
      </c>
      <c r="L43" s="290">
        <f t="shared" si="12"/>
        <v>0</v>
      </c>
    </row>
    <row r="44" spans="1:12" ht="14.1" customHeight="1">
      <c r="A44" s="283"/>
      <c r="B44" s="284">
        <f t="shared" si="13"/>
        <v>8</v>
      </c>
      <c r="C44" s="284"/>
      <c r="D44" s="286" t="s">
        <v>1382</v>
      </c>
      <c r="E44" s="287"/>
      <c r="F44" s="292"/>
      <c r="G44" s="289"/>
      <c r="H44" s="290"/>
      <c r="I44" s="291"/>
      <c r="J44" s="290">
        <f t="shared" si="10"/>
        <v>0</v>
      </c>
      <c r="K44" s="290">
        <f t="shared" si="11"/>
        <v>0</v>
      </c>
      <c r="L44" s="290">
        <f t="shared" si="12"/>
        <v>0</v>
      </c>
    </row>
    <row r="45" spans="1:12" ht="14.1" customHeight="1">
      <c r="A45" s="283"/>
      <c r="B45" s="284">
        <f t="shared" si="13"/>
        <v>9</v>
      </c>
      <c r="C45" s="284"/>
      <c r="D45" s="286" t="s">
        <v>1383</v>
      </c>
      <c r="E45" s="287"/>
      <c r="F45" s="292"/>
      <c r="G45" s="289"/>
      <c r="H45" s="290"/>
      <c r="I45" s="291"/>
      <c r="J45" s="290">
        <f t="shared" si="10"/>
        <v>0</v>
      </c>
      <c r="K45" s="290">
        <f t="shared" si="11"/>
        <v>0</v>
      </c>
      <c r="L45" s="290">
        <f t="shared" si="12"/>
        <v>0</v>
      </c>
    </row>
    <row r="46" spans="1:12" ht="14.1" customHeight="1">
      <c r="A46" s="283"/>
      <c r="B46" s="284">
        <f t="shared" si="13"/>
        <v>10</v>
      </c>
      <c r="C46" s="284"/>
      <c r="D46" s="286" t="s">
        <v>1384</v>
      </c>
      <c r="E46" s="287"/>
      <c r="F46" s="292"/>
      <c r="G46" s="289"/>
      <c r="H46" s="290"/>
      <c r="I46" s="291"/>
      <c r="J46" s="290">
        <f t="shared" si="10"/>
        <v>0</v>
      </c>
      <c r="K46" s="290">
        <f t="shared" si="11"/>
        <v>0</v>
      </c>
      <c r="L46" s="290">
        <f t="shared" si="12"/>
        <v>0</v>
      </c>
    </row>
    <row r="47" spans="1:12" ht="14.1" customHeight="1">
      <c r="A47" s="283"/>
      <c r="B47" s="284">
        <f t="shared" si="13"/>
        <v>11</v>
      </c>
      <c r="C47" s="284"/>
      <c r="D47" s="286" t="s">
        <v>1371</v>
      </c>
      <c r="E47" s="287"/>
      <c r="F47" s="292"/>
      <c r="G47" s="289"/>
      <c r="H47" s="290"/>
      <c r="I47" s="291"/>
      <c r="J47" s="290">
        <f t="shared" si="10"/>
        <v>0</v>
      </c>
      <c r="K47" s="290">
        <f t="shared" si="11"/>
        <v>0</v>
      </c>
      <c r="L47" s="290">
        <f t="shared" si="12"/>
        <v>0</v>
      </c>
    </row>
    <row r="48" spans="1:12" ht="14.1" customHeight="1" thickBot="1">
      <c r="A48" s="283"/>
      <c r="B48" s="284">
        <f t="shared" si="13"/>
        <v>12</v>
      </c>
      <c r="C48" s="284"/>
      <c r="D48" s="293" t="s">
        <v>1371</v>
      </c>
      <c r="E48" s="294"/>
      <c r="F48" s="295"/>
      <c r="G48" s="296"/>
      <c r="H48" s="297"/>
      <c r="I48" s="291"/>
      <c r="J48" s="290">
        <f t="shared" si="10"/>
        <v>0</v>
      </c>
      <c r="K48" s="290">
        <f t="shared" si="11"/>
        <v>0</v>
      </c>
      <c r="L48" s="290">
        <f t="shared" si="12"/>
        <v>0</v>
      </c>
    </row>
    <row r="49" spans="1:12" ht="14.1" customHeight="1" thickTop="1">
      <c r="A49" s="283"/>
      <c r="B49" s="284"/>
      <c r="C49" s="284"/>
      <c r="D49" s="269" t="s">
        <v>1355</v>
      </c>
      <c r="E49" s="280"/>
      <c r="F49" s="302"/>
      <c r="G49" s="303"/>
      <c r="H49" s="477">
        <f>SUM(H37:H48)</f>
        <v>0</v>
      </c>
      <c r="I49" s="300"/>
      <c r="J49" s="300"/>
    </row>
    <row r="50" spans="1:12" s="274" customFormat="1" ht="14.1" customHeight="1">
      <c r="A50" s="283"/>
      <c r="B50" s="284"/>
      <c r="C50" s="284"/>
      <c r="D50" s="276"/>
      <c r="E50" s="287"/>
      <c r="F50" s="288"/>
      <c r="G50" s="289"/>
      <c r="H50" s="291"/>
      <c r="I50" s="291"/>
      <c r="J50" s="291"/>
    </row>
    <row r="51" spans="1:12" ht="14.1" customHeight="1">
      <c r="A51" s="283" t="s">
        <v>1385</v>
      </c>
      <c r="B51" s="284"/>
      <c r="C51" s="284"/>
      <c r="D51" s="463" t="s">
        <v>1386</v>
      </c>
      <c r="E51" s="464"/>
      <c r="F51" s="465"/>
      <c r="G51" s="466"/>
      <c r="H51" s="467"/>
      <c r="I51" s="291"/>
      <c r="J51" s="463"/>
      <c r="K51" s="464"/>
      <c r="L51" s="465"/>
    </row>
    <row r="52" spans="1:12" ht="14.1" customHeight="1">
      <c r="A52" s="283"/>
      <c r="B52" s="284">
        <v>1</v>
      </c>
      <c r="C52" s="284"/>
      <c r="D52" s="469" t="s">
        <v>1387</v>
      </c>
      <c r="E52" s="474"/>
      <c r="F52" s="475"/>
      <c r="G52" s="472">
        <f>+F52*E52</f>
        <v>0</v>
      </c>
      <c r="H52" s="473"/>
      <c r="J52" s="469"/>
      <c r="K52" s="474"/>
      <c r="L52" s="475"/>
    </row>
    <row r="53" spans="1:12" ht="14.1" customHeight="1">
      <c r="A53" s="283"/>
      <c r="B53" s="284">
        <f>+B52+1</f>
        <v>2</v>
      </c>
      <c r="C53" s="284"/>
      <c r="D53" s="301" t="s">
        <v>1388</v>
      </c>
      <c r="E53" s="287"/>
      <c r="F53" s="305"/>
      <c r="G53" s="306"/>
      <c r="H53" s="307"/>
      <c r="J53" s="308">
        <f>IF(E53="land",H53,IF(E53="ineligible",0,0))</f>
        <v>0</v>
      </c>
      <c r="K53" s="308">
        <f>IF($E53="hard",$H53,IF($E53="ineligible",0,0))</f>
        <v>0</v>
      </c>
      <c r="L53" s="308">
        <f>IF($E53="soft",$H53,IF($E53="ineligible",0,0))</f>
        <v>0</v>
      </c>
    </row>
    <row r="54" spans="1:12" ht="14.1" customHeight="1">
      <c r="A54" s="283"/>
      <c r="B54" s="284">
        <f>+B53+1</f>
        <v>3</v>
      </c>
      <c r="C54" s="284"/>
      <c r="D54" s="301" t="s">
        <v>1389</v>
      </c>
      <c r="E54" s="287"/>
      <c r="F54" s="305"/>
      <c r="G54" s="306"/>
      <c r="H54" s="307"/>
      <c r="J54" s="308">
        <f t="shared" ref="J54:J56" si="14">IF(E54="land",H54,IF(E54="ineligible",0,0))</f>
        <v>0</v>
      </c>
      <c r="K54" s="308">
        <f t="shared" ref="K54:K100" si="15">IF($E54="hard",$H54,IF($E54="ineligible",0,0))</f>
        <v>0</v>
      </c>
      <c r="L54" s="308">
        <f t="shared" ref="L54:L56" si="16">IF($E54="soft",$H54,IF($E54="ineligible",0,0))</f>
        <v>0</v>
      </c>
    </row>
    <row r="55" spans="1:12" ht="14.1" customHeight="1">
      <c r="A55" s="283"/>
      <c r="B55" s="284">
        <f t="shared" ref="B55:B100" si="17">+B54+1</f>
        <v>4</v>
      </c>
      <c r="C55" s="284"/>
      <c r="D55" s="301" t="s">
        <v>1390</v>
      </c>
      <c r="E55" s="287"/>
      <c r="F55" s="305"/>
      <c r="G55" s="306"/>
      <c r="H55" s="307"/>
      <c r="J55" s="308">
        <f t="shared" si="14"/>
        <v>0</v>
      </c>
      <c r="K55" s="308">
        <f t="shared" si="15"/>
        <v>0</v>
      </c>
      <c r="L55" s="308">
        <f t="shared" si="16"/>
        <v>0</v>
      </c>
    </row>
    <row r="56" spans="1:12" ht="14.1" customHeight="1">
      <c r="A56" s="283"/>
      <c r="B56" s="284">
        <f t="shared" si="17"/>
        <v>5</v>
      </c>
      <c r="C56" s="284"/>
      <c r="D56" s="301" t="s">
        <v>1354</v>
      </c>
      <c r="E56" s="287"/>
      <c r="F56" s="305"/>
      <c r="G56" s="306"/>
      <c r="H56" s="307"/>
      <c r="J56" s="308">
        <f t="shared" si="14"/>
        <v>0</v>
      </c>
      <c r="K56" s="308">
        <f t="shared" si="15"/>
        <v>0</v>
      </c>
      <c r="L56" s="308">
        <f t="shared" si="16"/>
        <v>0</v>
      </c>
    </row>
    <row r="57" spans="1:12" ht="14.1" customHeight="1">
      <c r="A57" s="283"/>
      <c r="B57" s="284">
        <f t="shared" si="17"/>
        <v>6</v>
      </c>
      <c r="C57" s="284"/>
      <c r="D57" s="301" t="s">
        <v>1371</v>
      </c>
      <c r="E57" s="287"/>
      <c r="F57" s="305"/>
      <c r="G57" s="306"/>
      <c r="H57" s="307"/>
      <c r="J57" s="308">
        <f>IF(E57="land",H57,IF(E57="ineligible",0,0))</f>
        <v>0</v>
      </c>
      <c r="K57" s="308">
        <f>IF($E57="hard",$H57,IF($E57="ineligible",0,0))</f>
        <v>0</v>
      </c>
      <c r="L57" s="308">
        <f>IF($E57="soft",$H57,IF($E57="ineligible",0,0))</f>
        <v>0</v>
      </c>
    </row>
    <row r="58" spans="1:12" ht="14.1" customHeight="1">
      <c r="A58" s="283"/>
      <c r="B58" s="284">
        <f t="shared" si="17"/>
        <v>7</v>
      </c>
      <c r="C58" s="284"/>
      <c r="D58" s="469" t="s">
        <v>1391</v>
      </c>
      <c r="E58" s="474"/>
      <c r="F58" s="475"/>
      <c r="G58" s="472"/>
      <c r="H58" s="473"/>
      <c r="I58" s="291"/>
      <c r="J58" s="469"/>
      <c r="K58" s="474"/>
      <c r="L58" s="475"/>
    </row>
    <row r="59" spans="1:12" ht="14.1" customHeight="1">
      <c r="A59" s="283"/>
      <c r="B59" s="284">
        <f t="shared" si="17"/>
        <v>8</v>
      </c>
      <c r="C59" s="284"/>
      <c r="D59" s="301" t="s">
        <v>1309</v>
      </c>
      <c r="E59" s="287"/>
      <c r="F59" s="309"/>
      <c r="G59" s="289"/>
      <c r="H59" s="307"/>
      <c r="I59" s="291"/>
      <c r="J59" s="308">
        <f t="shared" ref="J59:J65" si="18">IF(E59="land",H59,IF(E59="ineligible",0,0))</f>
        <v>0</v>
      </c>
      <c r="K59" s="308">
        <f t="shared" si="15"/>
        <v>0</v>
      </c>
      <c r="L59" s="308">
        <f t="shared" ref="L59:L65" si="19">IF($E59="soft",$H59,IF($E59="ineligible",0,0))</f>
        <v>0</v>
      </c>
    </row>
    <row r="60" spans="1:12" ht="14.1" customHeight="1">
      <c r="A60" s="283"/>
      <c r="B60" s="284">
        <f t="shared" si="17"/>
        <v>9</v>
      </c>
      <c r="C60" s="284"/>
      <c r="D60" s="301" t="s">
        <v>1392</v>
      </c>
      <c r="E60" s="287"/>
      <c r="F60" s="309"/>
      <c r="G60" s="289"/>
      <c r="H60" s="307"/>
      <c r="I60" s="291"/>
      <c r="J60" s="308">
        <f t="shared" si="18"/>
        <v>0</v>
      </c>
      <c r="K60" s="308">
        <f t="shared" si="15"/>
        <v>0</v>
      </c>
      <c r="L60" s="308">
        <f t="shared" si="19"/>
        <v>0</v>
      </c>
    </row>
    <row r="61" spans="1:12" ht="14.1" customHeight="1">
      <c r="A61" s="283"/>
      <c r="B61" s="284">
        <f t="shared" si="17"/>
        <v>10</v>
      </c>
      <c r="C61" s="284"/>
      <c r="D61" s="301" t="s">
        <v>1393</v>
      </c>
      <c r="E61" s="287"/>
      <c r="F61" s="309"/>
      <c r="G61" s="289"/>
      <c r="H61" s="307"/>
      <c r="I61" s="291"/>
      <c r="J61" s="308">
        <f t="shared" si="18"/>
        <v>0</v>
      </c>
      <c r="K61" s="308">
        <f t="shared" si="15"/>
        <v>0</v>
      </c>
      <c r="L61" s="308">
        <f t="shared" si="19"/>
        <v>0</v>
      </c>
    </row>
    <row r="62" spans="1:12" ht="14.1" customHeight="1">
      <c r="A62" s="283"/>
      <c r="B62" s="284">
        <f t="shared" si="17"/>
        <v>11</v>
      </c>
      <c r="C62" s="284"/>
      <c r="D62" s="301" t="s">
        <v>1352</v>
      </c>
      <c r="E62" s="287"/>
      <c r="F62" s="309"/>
      <c r="G62" s="289"/>
      <c r="H62" s="307"/>
      <c r="I62" s="291"/>
      <c r="J62" s="308">
        <f t="shared" si="18"/>
        <v>0</v>
      </c>
      <c r="K62" s="308">
        <f t="shared" si="15"/>
        <v>0</v>
      </c>
      <c r="L62" s="308">
        <f t="shared" si="19"/>
        <v>0</v>
      </c>
    </row>
    <row r="63" spans="1:12" ht="14.1" customHeight="1">
      <c r="A63" s="283"/>
      <c r="B63" s="284">
        <f t="shared" si="17"/>
        <v>12</v>
      </c>
      <c r="C63" s="284"/>
      <c r="D63" s="301" t="s">
        <v>1394</v>
      </c>
      <c r="E63" s="287"/>
      <c r="F63" s="309"/>
      <c r="G63" s="289"/>
      <c r="H63" s="307"/>
      <c r="I63" s="291"/>
      <c r="J63" s="308">
        <f t="shared" si="18"/>
        <v>0</v>
      </c>
      <c r="K63" s="308">
        <f t="shared" si="15"/>
        <v>0</v>
      </c>
      <c r="L63" s="308">
        <f t="shared" si="19"/>
        <v>0</v>
      </c>
    </row>
    <row r="64" spans="1:12" ht="14.1" customHeight="1">
      <c r="A64" s="283"/>
      <c r="B64" s="284">
        <f t="shared" si="17"/>
        <v>13</v>
      </c>
      <c r="C64" s="284"/>
      <c r="D64" s="301" t="s">
        <v>1354</v>
      </c>
      <c r="E64" s="287"/>
      <c r="F64" s="309"/>
      <c r="G64" s="289"/>
      <c r="H64" s="307"/>
      <c r="I64" s="291"/>
      <c r="J64" s="308">
        <f t="shared" si="18"/>
        <v>0</v>
      </c>
      <c r="K64" s="308">
        <f t="shared" si="15"/>
        <v>0</v>
      </c>
      <c r="L64" s="308">
        <f t="shared" si="19"/>
        <v>0</v>
      </c>
    </row>
    <row r="65" spans="1:12" ht="14.1" customHeight="1">
      <c r="A65" s="283"/>
      <c r="B65" s="284">
        <f t="shared" si="17"/>
        <v>14</v>
      </c>
      <c r="C65" s="284"/>
      <c r="D65" s="301" t="s">
        <v>1354</v>
      </c>
      <c r="E65" s="287"/>
      <c r="F65" s="309"/>
      <c r="G65" s="289"/>
      <c r="H65" s="307"/>
      <c r="I65" s="291"/>
      <c r="J65" s="308">
        <f t="shared" si="18"/>
        <v>0</v>
      </c>
      <c r="K65" s="308">
        <f t="shared" si="15"/>
        <v>0</v>
      </c>
      <c r="L65" s="308">
        <f t="shared" si="19"/>
        <v>0</v>
      </c>
    </row>
    <row r="66" spans="1:12" ht="14.1" customHeight="1">
      <c r="A66" s="283"/>
      <c r="B66" s="284">
        <f t="shared" si="17"/>
        <v>15</v>
      </c>
      <c r="C66" s="284"/>
      <c r="D66" s="469" t="s">
        <v>1395</v>
      </c>
      <c r="E66" s="474"/>
      <c r="F66" s="475"/>
      <c r="G66" s="472"/>
      <c r="H66" s="473"/>
      <c r="I66" s="291"/>
      <c r="J66" s="469"/>
      <c r="K66" s="474"/>
      <c r="L66" s="475"/>
    </row>
    <row r="67" spans="1:12" ht="14.1" customHeight="1">
      <c r="A67" s="283"/>
      <c r="B67" s="284">
        <f t="shared" si="17"/>
        <v>16</v>
      </c>
      <c r="C67" s="284"/>
      <c r="D67" s="301" t="s">
        <v>1396</v>
      </c>
      <c r="E67" s="287"/>
      <c r="F67" s="309"/>
      <c r="G67" s="289"/>
      <c r="H67" s="307"/>
      <c r="I67" s="291"/>
      <c r="J67" s="308">
        <f t="shared" ref="J67:J71" si="20">IF(E67="land",H67,IF(E67="ineligible",0,0))</f>
        <v>0</v>
      </c>
      <c r="K67" s="308">
        <f t="shared" si="15"/>
        <v>0</v>
      </c>
      <c r="L67" s="308">
        <f t="shared" ref="L67:L71" si="21">IF($E67="soft",$H67,IF($E67="ineligible",0,0))</f>
        <v>0</v>
      </c>
    </row>
    <row r="68" spans="1:12" ht="14.1" customHeight="1">
      <c r="A68" s="283"/>
      <c r="B68" s="284">
        <f t="shared" si="17"/>
        <v>17</v>
      </c>
      <c r="C68" s="284"/>
      <c r="D68" s="301" t="s">
        <v>1397</v>
      </c>
      <c r="E68" s="287"/>
      <c r="F68" s="309"/>
      <c r="G68" s="289"/>
      <c r="H68" s="307"/>
      <c r="I68" s="291"/>
      <c r="J68" s="308">
        <f t="shared" si="20"/>
        <v>0</v>
      </c>
      <c r="K68" s="308">
        <f t="shared" si="15"/>
        <v>0</v>
      </c>
      <c r="L68" s="308">
        <f t="shared" si="21"/>
        <v>0</v>
      </c>
    </row>
    <row r="69" spans="1:12" ht="14.1" customHeight="1">
      <c r="A69" s="283"/>
      <c r="B69" s="284">
        <f t="shared" si="17"/>
        <v>18</v>
      </c>
      <c r="C69" s="284"/>
      <c r="D69" s="301" t="s">
        <v>1398</v>
      </c>
      <c r="E69" s="287"/>
      <c r="F69" s="309"/>
      <c r="G69" s="289"/>
      <c r="H69" s="307"/>
      <c r="I69" s="291"/>
      <c r="J69" s="308">
        <f t="shared" si="20"/>
        <v>0</v>
      </c>
      <c r="K69" s="308">
        <f t="shared" si="15"/>
        <v>0</v>
      </c>
      <c r="L69" s="308">
        <f t="shared" si="21"/>
        <v>0</v>
      </c>
    </row>
    <row r="70" spans="1:12" ht="14.1" customHeight="1">
      <c r="A70" s="283"/>
      <c r="B70" s="284">
        <f t="shared" si="17"/>
        <v>19</v>
      </c>
      <c r="C70" s="284"/>
      <c r="D70" s="301" t="s">
        <v>1354</v>
      </c>
      <c r="E70" s="287"/>
      <c r="F70" s="309"/>
      <c r="G70" s="289"/>
      <c r="H70" s="307"/>
      <c r="I70" s="291"/>
      <c r="J70" s="308">
        <f t="shared" si="20"/>
        <v>0</v>
      </c>
      <c r="K70" s="308">
        <f t="shared" si="15"/>
        <v>0</v>
      </c>
      <c r="L70" s="308">
        <f t="shared" si="21"/>
        <v>0</v>
      </c>
    </row>
    <row r="71" spans="1:12" ht="14.1" customHeight="1">
      <c r="A71" s="283"/>
      <c r="B71" s="284">
        <f t="shared" si="17"/>
        <v>20</v>
      </c>
      <c r="C71" s="284"/>
      <c r="D71" s="301" t="s">
        <v>1371</v>
      </c>
      <c r="E71" s="287"/>
      <c r="F71" s="309"/>
      <c r="G71" s="289"/>
      <c r="H71" s="307"/>
      <c r="I71" s="291"/>
      <c r="J71" s="308">
        <f t="shared" si="20"/>
        <v>0</v>
      </c>
      <c r="K71" s="308">
        <f t="shared" si="15"/>
        <v>0</v>
      </c>
      <c r="L71" s="308">
        <f t="shared" si="21"/>
        <v>0</v>
      </c>
    </row>
    <row r="72" spans="1:12" ht="14.1" customHeight="1">
      <c r="A72" s="283"/>
      <c r="B72" s="284">
        <f t="shared" si="17"/>
        <v>21</v>
      </c>
      <c r="C72" s="284"/>
      <c r="D72" s="469" t="s">
        <v>1353</v>
      </c>
      <c r="E72" s="474"/>
      <c r="F72" s="475"/>
      <c r="G72" s="472"/>
      <c r="H72" s="473"/>
      <c r="I72" s="291"/>
      <c r="J72" s="469"/>
      <c r="K72" s="474"/>
      <c r="L72" s="475"/>
    </row>
    <row r="73" spans="1:12" ht="14.1" customHeight="1">
      <c r="A73" s="283"/>
      <c r="B73" s="284">
        <f t="shared" si="17"/>
        <v>22</v>
      </c>
      <c r="C73" s="284"/>
      <c r="D73" s="301" t="s">
        <v>1399</v>
      </c>
      <c r="E73" s="287"/>
      <c r="F73" s="309"/>
      <c r="G73" s="289"/>
      <c r="H73" s="307"/>
      <c r="I73" s="291"/>
      <c r="J73" s="308">
        <f t="shared" ref="J73:J108" si="22">IF(E73="land",H73,IF(E73="ineligible",0,0))</f>
        <v>0</v>
      </c>
      <c r="K73" s="308">
        <f t="shared" si="15"/>
        <v>0</v>
      </c>
      <c r="L73" s="308">
        <f t="shared" ref="L73:L74" si="23">IF($E73="soft",$H73,IF($E73="ineligible",0,0))</f>
        <v>0</v>
      </c>
    </row>
    <row r="74" spans="1:12" ht="14.1" customHeight="1">
      <c r="A74" s="283"/>
      <c r="B74" s="284">
        <f t="shared" si="17"/>
        <v>23</v>
      </c>
      <c r="C74" s="284"/>
      <c r="D74" s="301" t="s">
        <v>1400</v>
      </c>
      <c r="E74" s="287"/>
      <c r="F74" s="309"/>
      <c r="G74" s="289"/>
      <c r="H74" s="307"/>
      <c r="I74" s="291"/>
      <c r="J74" s="308">
        <f t="shared" si="22"/>
        <v>0</v>
      </c>
      <c r="K74" s="308">
        <f t="shared" si="15"/>
        <v>0</v>
      </c>
      <c r="L74" s="308">
        <f t="shared" si="23"/>
        <v>0</v>
      </c>
    </row>
    <row r="75" spans="1:12" ht="14.1" customHeight="1">
      <c r="A75" s="283"/>
      <c r="B75" s="284">
        <f t="shared" si="17"/>
        <v>24</v>
      </c>
      <c r="C75" s="284"/>
      <c r="D75" s="469" t="s">
        <v>1401</v>
      </c>
      <c r="E75" s="474"/>
      <c r="F75" s="475"/>
      <c r="G75" s="472"/>
      <c r="H75" s="473"/>
      <c r="I75" s="291"/>
      <c r="J75" s="469"/>
      <c r="K75" s="474"/>
      <c r="L75" s="475"/>
    </row>
    <row r="76" spans="1:12" ht="14.1" customHeight="1">
      <c r="A76" s="283"/>
      <c r="B76" s="284">
        <f t="shared" si="17"/>
        <v>25</v>
      </c>
      <c r="C76" s="284"/>
      <c r="D76" s="301" t="s">
        <v>1402</v>
      </c>
      <c r="E76" s="287"/>
      <c r="F76" s="288"/>
      <c r="G76" s="289"/>
      <c r="H76" s="307"/>
      <c r="I76" s="291"/>
      <c r="J76" s="308">
        <f t="shared" si="22"/>
        <v>0</v>
      </c>
      <c r="K76" s="308">
        <f t="shared" si="15"/>
        <v>0</v>
      </c>
      <c r="L76" s="308">
        <f t="shared" ref="L76:L80" si="24">IF($E76="soft",$H76,IF($E76="ineligible",0,0))</f>
        <v>0</v>
      </c>
    </row>
    <row r="77" spans="1:12" ht="14.1" customHeight="1">
      <c r="A77" s="283"/>
      <c r="B77" s="284">
        <f t="shared" si="17"/>
        <v>26</v>
      </c>
      <c r="C77" s="284"/>
      <c r="D77" s="301" t="s">
        <v>1403</v>
      </c>
      <c r="E77" s="287"/>
      <c r="F77" s="288"/>
      <c r="G77" s="289"/>
      <c r="H77" s="307"/>
      <c r="I77" s="291"/>
      <c r="J77" s="308">
        <f t="shared" si="22"/>
        <v>0</v>
      </c>
      <c r="K77" s="308">
        <f t="shared" si="15"/>
        <v>0</v>
      </c>
      <c r="L77" s="308">
        <f t="shared" si="24"/>
        <v>0</v>
      </c>
    </row>
    <row r="78" spans="1:12" ht="14.1" customHeight="1">
      <c r="A78" s="283"/>
      <c r="B78" s="284">
        <f t="shared" si="17"/>
        <v>27</v>
      </c>
      <c r="C78" s="284"/>
      <c r="D78" s="301" t="s">
        <v>1404</v>
      </c>
      <c r="E78" s="287"/>
      <c r="F78" s="288"/>
      <c r="G78" s="289"/>
      <c r="H78" s="307"/>
      <c r="I78" s="291"/>
      <c r="J78" s="308">
        <f t="shared" si="22"/>
        <v>0</v>
      </c>
      <c r="K78" s="308">
        <f t="shared" si="15"/>
        <v>0</v>
      </c>
      <c r="L78" s="308">
        <f t="shared" si="24"/>
        <v>0</v>
      </c>
    </row>
    <row r="79" spans="1:12" ht="14.1" customHeight="1">
      <c r="A79" s="283"/>
      <c r="B79" s="284">
        <f t="shared" si="17"/>
        <v>28</v>
      </c>
      <c r="C79" s="284"/>
      <c r="D79" s="301" t="s">
        <v>1354</v>
      </c>
      <c r="E79" s="287"/>
      <c r="F79" s="288"/>
      <c r="G79" s="289"/>
      <c r="H79" s="307"/>
      <c r="I79" s="291"/>
      <c r="J79" s="308">
        <f t="shared" si="22"/>
        <v>0</v>
      </c>
      <c r="K79" s="308">
        <f t="shared" si="15"/>
        <v>0</v>
      </c>
      <c r="L79" s="308">
        <f t="shared" si="24"/>
        <v>0</v>
      </c>
    </row>
    <row r="80" spans="1:12" ht="14.1" customHeight="1">
      <c r="A80" s="283"/>
      <c r="B80" s="284">
        <f t="shared" si="17"/>
        <v>29</v>
      </c>
      <c r="C80" s="284"/>
      <c r="D80" s="301" t="s">
        <v>1354</v>
      </c>
      <c r="E80" s="287"/>
      <c r="F80" s="288"/>
      <c r="G80" s="289"/>
      <c r="H80" s="307"/>
      <c r="I80" s="291"/>
      <c r="J80" s="308">
        <f t="shared" si="22"/>
        <v>0</v>
      </c>
      <c r="K80" s="308">
        <f t="shared" si="15"/>
        <v>0</v>
      </c>
      <c r="L80" s="308">
        <f t="shared" si="24"/>
        <v>0</v>
      </c>
    </row>
    <row r="81" spans="1:12" ht="14.1" customHeight="1">
      <c r="A81" s="283"/>
      <c r="B81" s="284">
        <f t="shared" si="17"/>
        <v>30</v>
      </c>
      <c r="C81" s="284"/>
      <c r="D81" s="469" t="s">
        <v>1405</v>
      </c>
      <c r="E81" s="474"/>
      <c r="F81" s="475"/>
      <c r="G81" s="472"/>
      <c r="H81" s="473"/>
      <c r="I81" s="291"/>
      <c r="J81" s="469"/>
      <c r="K81" s="474"/>
      <c r="L81" s="475"/>
    </row>
    <row r="82" spans="1:12" ht="14.1" customHeight="1">
      <c r="A82" s="283"/>
      <c r="B82" s="284">
        <f t="shared" si="17"/>
        <v>31</v>
      </c>
      <c r="C82" s="284"/>
      <c r="D82" s="301" t="s">
        <v>1406</v>
      </c>
      <c r="E82" s="287"/>
      <c r="F82" s="288"/>
      <c r="G82" s="289"/>
      <c r="H82" s="307"/>
      <c r="I82" s="291"/>
      <c r="J82" s="308">
        <f t="shared" si="22"/>
        <v>0</v>
      </c>
      <c r="K82" s="308">
        <f t="shared" si="15"/>
        <v>0</v>
      </c>
      <c r="L82" s="308">
        <f t="shared" ref="L82:L86" si="25">IF($E82="soft",$H82,IF($E82="ineligible",0,0))</f>
        <v>0</v>
      </c>
    </row>
    <row r="83" spans="1:12" ht="14.1" customHeight="1">
      <c r="A83" s="283"/>
      <c r="B83" s="284">
        <f t="shared" si="17"/>
        <v>32</v>
      </c>
      <c r="C83" s="284"/>
      <c r="D83" s="301" t="s">
        <v>1407</v>
      </c>
      <c r="E83" s="287"/>
      <c r="F83" s="288"/>
      <c r="G83" s="289"/>
      <c r="H83" s="307"/>
      <c r="I83" s="291"/>
      <c r="J83" s="308">
        <f t="shared" si="22"/>
        <v>0</v>
      </c>
      <c r="K83" s="308">
        <f t="shared" si="15"/>
        <v>0</v>
      </c>
      <c r="L83" s="308">
        <f t="shared" si="25"/>
        <v>0</v>
      </c>
    </row>
    <row r="84" spans="1:12" ht="14.1" customHeight="1">
      <c r="A84" s="283"/>
      <c r="B84" s="284">
        <f t="shared" si="17"/>
        <v>33</v>
      </c>
      <c r="C84" s="284"/>
      <c r="D84" s="301" t="s">
        <v>1408</v>
      </c>
      <c r="E84" s="287"/>
      <c r="F84" s="288"/>
      <c r="G84" s="289"/>
      <c r="H84" s="307"/>
      <c r="I84" s="291"/>
      <c r="J84" s="308">
        <f t="shared" si="22"/>
        <v>0</v>
      </c>
      <c r="K84" s="308">
        <f t="shared" si="15"/>
        <v>0</v>
      </c>
      <c r="L84" s="308">
        <f t="shared" si="25"/>
        <v>0</v>
      </c>
    </row>
    <row r="85" spans="1:12" ht="14.1" customHeight="1">
      <c r="A85" s="283"/>
      <c r="B85" s="284">
        <f t="shared" si="17"/>
        <v>34</v>
      </c>
      <c r="C85" s="284"/>
      <c r="D85" s="301" t="s">
        <v>1354</v>
      </c>
      <c r="E85" s="287"/>
      <c r="F85" s="288"/>
      <c r="G85" s="289"/>
      <c r="H85" s="307"/>
      <c r="I85" s="291"/>
      <c r="J85" s="308">
        <f t="shared" si="22"/>
        <v>0</v>
      </c>
      <c r="K85" s="308">
        <f t="shared" si="15"/>
        <v>0</v>
      </c>
      <c r="L85" s="308">
        <f t="shared" si="25"/>
        <v>0</v>
      </c>
    </row>
    <row r="86" spans="1:12" ht="14.1" customHeight="1">
      <c r="A86" s="283"/>
      <c r="B86" s="284">
        <f t="shared" si="17"/>
        <v>35</v>
      </c>
      <c r="C86" s="284"/>
      <c r="D86" s="301" t="s">
        <v>1354</v>
      </c>
      <c r="E86" s="287"/>
      <c r="F86" s="288"/>
      <c r="G86" s="289"/>
      <c r="H86" s="307"/>
      <c r="I86" s="291"/>
      <c r="J86" s="308">
        <f t="shared" si="22"/>
        <v>0</v>
      </c>
      <c r="K86" s="308">
        <f t="shared" si="15"/>
        <v>0</v>
      </c>
      <c r="L86" s="308">
        <f t="shared" si="25"/>
        <v>0</v>
      </c>
    </row>
    <row r="87" spans="1:12" ht="14.1" customHeight="1">
      <c r="A87" s="283"/>
      <c r="B87" s="284">
        <f t="shared" si="17"/>
        <v>36</v>
      </c>
      <c r="C87" s="284"/>
      <c r="D87" s="469" t="s">
        <v>1409</v>
      </c>
      <c r="E87" s="474"/>
      <c r="F87" s="475"/>
      <c r="G87" s="472"/>
      <c r="H87" s="473"/>
      <c r="I87" s="291"/>
      <c r="J87" s="469"/>
      <c r="K87" s="474"/>
      <c r="L87" s="475"/>
    </row>
    <row r="88" spans="1:12" ht="14.1" customHeight="1">
      <c r="A88" s="283"/>
      <c r="B88" s="284">
        <f t="shared" si="17"/>
        <v>37</v>
      </c>
      <c r="C88" s="284"/>
      <c r="D88" s="301" t="s">
        <v>1410</v>
      </c>
      <c r="E88" s="287"/>
      <c r="F88" s="288"/>
      <c r="G88" s="289"/>
      <c r="H88" s="307"/>
      <c r="I88" s="291"/>
      <c r="J88" s="308">
        <f t="shared" si="22"/>
        <v>0</v>
      </c>
      <c r="K88" s="308">
        <f t="shared" si="15"/>
        <v>0</v>
      </c>
      <c r="L88" s="308">
        <f t="shared" ref="L88:L92" si="26">IF($E88="soft",$H88,IF($E88="ineligible",0,0))</f>
        <v>0</v>
      </c>
    </row>
    <row r="89" spans="1:12" ht="14.1" customHeight="1">
      <c r="A89" s="283"/>
      <c r="B89" s="284">
        <f t="shared" si="17"/>
        <v>38</v>
      </c>
      <c r="C89" s="284"/>
      <c r="D89" s="301" t="s">
        <v>1411</v>
      </c>
      <c r="E89" s="287"/>
      <c r="F89" s="288"/>
      <c r="G89" s="289"/>
      <c r="H89" s="307"/>
      <c r="I89" s="291"/>
      <c r="J89" s="308">
        <f t="shared" si="22"/>
        <v>0</v>
      </c>
      <c r="K89" s="308">
        <f t="shared" si="15"/>
        <v>0</v>
      </c>
      <c r="L89" s="308">
        <f t="shared" si="26"/>
        <v>0</v>
      </c>
    </row>
    <row r="90" spans="1:12" ht="14.1" customHeight="1">
      <c r="A90" s="283"/>
      <c r="B90" s="284">
        <f t="shared" si="17"/>
        <v>39</v>
      </c>
      <c r="C90" s="284"/>
      <c r="D90" s="301" t="s">
        <v>1412</v>
      </c>
      <c r="E90" s="287"/>
      <c r="F90" s="288"/>
      <c r="G90" s="289"/>
      <c r="H90" s="307"/>
      <c r="I90" s="291"/>
      <c r="J90" s="308">
        <f t="shared" si="22"/>
        <v>0</v>
      </c>
      <c r="K90" s="308">
        <f t="shared" si="15"/>
        <v>0</v>
      </c>
      <c r="L90" s="308">
        <f t="shared" si="26"/>
        <v>0</v>
      </c>
    </row>
    <row r="91" spans="1:12" ht="14.1" customHeight="1">
      <c r="A91" s="283"/>
      <c r="B91" s="284">
        <f t="shared" si="17"/>
        <v>40</v>
      </c>
      <c r="C91" s="284"/>
      <c r="D91" s="301" t="s">
        <v>1354</v>
      </c>
      <c r="E91" s="287"/>
      <c r="F91" s="288"/>
      <c r="G91" s="289"/>
      <c r="H91" s="307"/>
      <c r="I91" s="291"/>
      <c r="J91" s="308">
        <f t="shared" si="22"/>
        <v>0</v>
      </c>
      <c r="K91" s="308">
        <f t="shared" si="15"/>
        <v>0</v>
      </c>
      <c r="L91" s="308">
        <f t="shared" si="26"/>
        <v>0</v>
      </c>
    </row>
    <row r="92" spans="1:12" ht="14.1" customHeight="1">
      <c r="A92" s="283"/>
      <c r="B92" s="284">
        <f t="shared" si="17"/>
        <v>41</v>
      </c>
      <c r="C92" s="284"/>
      <c r="D92" s="301" t="s">
        <v>1371</v>
      </c>
      <c r="E92" s="287"/>
      <c r="F92" s="288"/>
      <c r="G92" s="289"/>
      <c r="H92" s="307"/>
      <c r="I92" s="291"/>
      <c r="J92" s="308">
        <f t="shared" si="22"/>
        <v>0</v>
      </c>
      <c r="K92" s="308">
        <f t="shared" si="15"/>
        <v>0</v>
      </c>
      <c r="L92" s="308">
        <f t="shared" si="26"/>
        <v>0</v>
      </c>
    </row>
    <row r="93" spans="1:12" ht="14.1" customHeight="1">
      <c r="A93" s="283"/>
      <c r="B93" s="284">
        <f t="shared" si="17"/>
        <v>42</v>
      </c>
      <c r="C93" s="284"/>
      <c r="D93" s="469" t="s">
        <v>1469</v>
      </c>
      <c r="E93" s="474"/>
      <c r="F93" s="475"/>
      <c r="G93" s="472"/>
      <c r="H93" s="473"/>
      <c r="I93" s="291"/>
      <c r="J93" s="469"/>
      <c r="K93" s="474"/>
      <c r="L93" s="475"/>
    </row>
    <row r="94" spans="1:12" ht="14.1" customHeight="1">
      <c r="A94" s="283"/>
      <c r="B94" s="284">
        <f t="shared" si="17"/>
        <v>43</v>
      </c>
      <c r="C94" s="284"/>
      <c r="D94" s="301" t="s">
        <v>1413</v>
      </c>
      <c r="E94" s="287"/>
      <c r="F94" s="288"/>
      <c r="G94" s="289"/>
      <c r="H94" s="290"/>
      <c r="I94" s="291"/>
      <c r="J94" s="308">
        <f t="shared" si="22"/>
        <v>0</v>
      </c>
      <c r="K94" s="308">
        <f t="shared" si="15"/>
        <v>0</v>
      </c>
      <c r="L94" s="308">
        <f t="shared" ref="L94:L100" si="27">IF($E94="soft",$H94,IF($E94="ineligible",0,0))</f>
        <v>0</v>
      </c>
    </row>
    <row r="95" spans="1:12" ht="14.1" customHeight="1">
      <c r="A95" s="283"/>
      <c r="B95" s="284">
        <f t="shared" si="17"/>
        <v>44</v>
      </c>
      <c r="C95" s="284"/>
      <c r="D95" s="301" t="s">
        <v>1414</v>
      </c>
      <c r="E95" s="287"/>
      <c r="F95" s="288"/>
      <c r="G95" s="289"/>
      <c r="H95" s="290"/>
      <c r="I95" s="291"/>
      <c r="J95" s="308">
        <f t="shared" si="22"/>
        <v>0</v>
      </c>
      <c r="K95" s="308">
        <f t="shared" si="15"/>
        <v>0</v>
      </c>
      <c r="L95" s="308">
        <f t="shared" si="27"/>
        <v>0</v>
      </c>
    </row>
    <row r="96" spans="1:12" ht="14.1" customHeight="1">
      <c r="A96" s="283"/>
      <c r="B96" s="284">
        <f t="shared" si="17"/>
        <v>45</v>
      </c>
      <c r="C96" s="284"/>
      <c r="D96" s="301" t="s">
        <v>1415</v>
      </c>
      <c r="E96" s="287"/>
      <c r="F96" s="288"/>
      <c r="G96" s="289"/>
      <c r="H96" s="290"/>
      <c r="I96" s="291"/>
      <c r="J96" s="308">
        <f t="shared" si="22"/>
        <v>0</v>
      </c>
      <c r="K96" s="308">
        <f t="shared" si="15"/>
        <v>0</v>
      </c>
      <c r="L96" s="308">
        <f t="shared" si="27"/>
        <v>0</v>
      </c>
    </row>
    <row r="97" spans="1:14" ht="14.1" customHeight="1">
      <c r="A97" s="283"/>
      <c r="B97" s="284">
        <f t="shared" si="17"/>
        <v>46</v>
      </c>
      <c r="C97" s="284"/>
      <c r="D97" s="301" t="s">
        <v>1416</v>
      </c>
      <c r="E97" s="287"/>
      <c r="F97" s="288"/>
      <c r="G97" s="289"/>
      <c r="H97" s="290"/>
      <c r="I97" s="291"/>
      <c r="J97" s="308">
        <f t="shared" si="22"/>
        <v>0</v>
      </c>
      <c r="K97" s="308">
        <f t="shared" si="15"/>
        <v>0</v>
      </c>
      <c r="L97" s="308">
        <f t="shared" si="27"/>
        <v>0</v>
      </c>
    </row>
    <row r="98" spans="1:14" ht="14.1" customHeight="1">
      <c r="A98" s="283"/>
      <c r="B98" s="284">
        <f t="shared" si="17"/>
        <v>47</v>
      </c>
      <c r="C98" s="284"/>
      <c r="D98" s="301" t="s">
        <v>1405</v>
      </c>
      <c r="E98" s="287"/>
      <c r="F98" s="288"/>
      <c r="G98" s="289"/>
      <c r="H98" s="290"/>
      <c r="I98" s="291"/>
      <c r="J98" s="308">
        <f t="shared" si="22"/>
        <v>0</v>
      </c>
      <c r="K98" s="308">
        <f t="shared" si="15"/>
        <v>0</v>
      </c>
      <c r="L98" s="308">
        <f t="shared" si="27"/>
        <v>0</v>
      </c>
    </row>
    <row r="99" spans="1:14" ht="14.1" customHeight="1">
      <c r="A99" s="283"/>
      <c r="B99" s="284">
        <f t="shared" si="17"/>
        <v>48</v>
      </c>
      <c r="C99" s="284"/>
      <c r="D99" s="301" t="s">
        <v>1354</v>
      </c>
      <c r="E99" s="287"/>
      <c r="F99" s="288"/>
      <c r="G99" s="289"/>
      <c r="H99" s="290"/>
      <c r="I99" s="291"/>
      <c r="J99" s="308">
        <f t="shared" si="22"/>
        <v>0</v>
      </c>
      <c r="K99" s="308">
        <f t="shared" si="15"/>
        <v>0</v>
      </c>
      <c r="L99" s="308">
        <f t="shared" si="27"/>
        <v>0</v>
      </c>
    </row>
    <row r="100" spans="1:14" ht="14.1" customHeight="1" thickBot="1">
      <c r="A100" s="283"/>
      <c r="B100" s="284">
        <f t="shared" si="17"/>
        <v>49</v>
      </c>
      <c r="C100" s="284"/>
      <c r="D100" s="310" t="s">
        <v>1354</v>
      </c>
      <c r="E100" s="294"/>
      <c r="F100" s="311"/>
      <c r="G100" s="296"/>
      <c r="H100" s="297"/>
      <c r="I100" s="291"/>
      <c r="J100" s="308">
        <f t="shared" si="22"/>
        <v>0</v>
      </c>
      <c r="K100" s="308">
        <f t="shared" si="15"/>
        <v>0</v>
      </c>
      <c r="L100" s="308">
        <f t="shared" si="27"/>
        <v>0</v>
      </c>
    </row>
    <row r="101" spans="1:14" ht="14.1" customHeight="1" thickTop="1">
      <c r="A101" s="283"/>
      <c r="B101" s="284"/>
      <c r="C101" s="284"/>
      <c r="D101" s="269" t="s">
        <v>1355</v>
      </c>
      <c r="E101" s="280"/>
      <c r="F101" s="298"/>
      <c r="G101" s="303"/>
      <c r="H101" s="477">
        <f>SUM(H52:H100)</f>
        <v>0</v>
      </c>
      <c r="I101" s="300"/>
      <c r="J101" s="300"/>
    </row>
    <row r="102" spans="1:14" ht="14.1" customHeight="1">
      <c r="A102" s="283"/>
      <c r="B102" s="284"/>
      <c r="C102" s="284"/>
      <c r="D102" s="269"/>
      <c r="E102" s="280"/>
      <c r="F102" s="298"/>
      <c r="G102" s="303"/>
      <c r="H102" s="300"/>
      <c r="I102" s="300"/>
      <c r="J102" s="300"/>
    </row>
    <row r="103" spans="1:14" ht="14.1" customHeight="1">
      <c r="A103" s="283" t="s">
        <v>1417</v>
      </c>
      <c r="B103" s="284"/>
      <c r="C103" s="284"/>
      <c r="D103" s="463" t="s">
        <v>1306</v>
      </c>
      <c r="E103" s="464"/>
      <c r="F103" s="465"/>
      <c r="G103" s="466"/>
      <c r="H103" s="467"/>
      <c r="I103" s="300"/>
      <c r="J103" s="463"/>
      <c r="K103" s="464"/>
      <c r="L103" s="465"/>
    </row>
    <row r="104" spans="1:14" ht="14.1" customHeight="1" thickBot="1">
      <c r="A104" s="283"/>
      <c r="B104" s="284"/>
      <c r="C104" s="284"/>
      <c r="D104" s="312" t="s">
        <v>1418</v>
      </c>
      <c r="E104" s="294"/>
      <c r="F104" s="313"/>
      <c r="G104" s="314"/>
      <c r="H104" s="315"/>
      <c r="I104" s="300"/>
      <c r="J104" s="290">
        <f t="shared" si="22"/>
        <v>0</v>
      </c>
      <c r="K104" s="316">
        <f t="shared" ref="K104" si="28">IF($E104="hard",$H104,IF($E104="ineligible",0,0))</f>
        <v>0</v>
      </c>
      <c r="L104" s="290">
        <f t="shared" ref="L104" si="29">IF($E104="soft",$H104,IF($E104="ineligible",0,0))</f>
        <v>0</v>
      </c>
    </row>
    <row r="105" spans="1:14" ht="14.1" customHeight="1" thickTop="1">
      <c r="A105" s="283"/>
      <c r="B105" s="284"/>
      <c r="C105" s="284"/>
      <c r="D105" s="269"/>
      <c r="E105" s="280"/>
      <c r="F105" s="298"/>
      <c r="G105" s="303"/>
      <c r="H105" s="477">
        <f>+H104</f>
        <v>0</v>
      </c>
      <c r="I105" s="300"/>
      <c r="J105" s="300"/>
    </row>
    <row r="106" spans="1:14" ht="14.1" customHeight="1">
      <c r="A106" s="283"/>
      <c r="B106" s="284"/>
      <c r="C106" s="284"/>
      <c r="D106" s="265"/>
      <c r="E106" s="317"/>
      <c r="F106" s="317"/>
      <c r="G106" s="317"/>
      <c r="H106" s="265"/>
      <c r="I106" s="318"/>
      <c r="J106" s="318"/>
    </row>
    <row r="107" spans="1:14" s="274" customFormat="1" ht="12.75" customHeight="1">
      <c r="A107" s="283" t="s">
        <v>1419</v>
      </c>
      <c r="B107" s="284"/>
      <c r="C107" s="284"/>
      <c r="D107" s="463" t="s">
        <v>1420</v>
      </c>
      <c r="E107" s="464"/>
      <c r="F107" s="465"/>
      <c r="G107" s="466"/>
      <c r="H107" s="467"/>
      <c r="I107" s="291"/>
      <c r="J107" s="463"/>
      <c r="K107" s="464"/>
      <c r="L107" s="465"/>
    </row>
    <row r="108" spans="1:14" s="274" customFormat="1" ht="12.75" customHeight="1" thickBot="1">
      <c r="A108" s="283"/>
      <c r="B108" s="284"/>
      <c r="C108" s="284"/>
      <c r="D108" s="293" t="s">
        <v>1421</v>
      </c>
      <c r="E108" s="294"/>
      <c r="F108" s="319"/>
      <c r="G108" s="296"/>
      <c r="H108" s="297"/>
      <c r="I108" s="291"/>
      <c r="J108" s="290">
        <f t="shared" si="22"/>
        <v>0</v>
      </c>
      <c r="K108" s="316">
        <f t="shared" ref="K108" si="30">IF($E108="hard",$H108,IF($E108="ineligible",0,0))</f>
        <v>0</v>
      </c>
      <c r="L108" s="290">
        <f t="shared" ref="L108" si="31">IF($E108="soft",$H108,IF($E108="ineligible",0,0))</f>
        <v>0</v>
      </c>
    </row>
    <row r="109" spans="1:14" s="274" customFormat="1" ht="12.75" customHeight="1" thickTop="1">
      <c r="A109" s="283"/>
      <c r="B109" s="284"/>
      <c r="C109" s="284"/>
      <c r="D109" s="269" t="s">
        <v>1422</v>
      </c>
      <c r="E109" s="287"/>
      <c r="F109" s="320"/>
      <c r="G109" s="289"/>
      <c r="H109" s="477">
        <f>SUM(H108:H108)</f>
        <v>0</v>
      </c>
      <c r="I109" s="300"/>
      <c r="J109" s="300"/>
    </row>
    <row r="110" spans="1:14" s="274" customFormat="1" ht="12.75" customHeight="1">
      <c r="A110" s="283"/>
      <c r="B110" s="284"/>
      <c r="C110" s="284"/>
      <c r="D110" s="276"/>
      <c r="E110" s="287"/>
      <c r="F110" s="320"/>
      <c r="G110" s="289"/>
      <c r="H110" s="291"/>
      <c r="I110" s="291"/>
      <c r="J110" s="291"/>
    </row>
    <row r="111" spans="1:14" s="274" customFormat="1" ht="12.75" customHeight="1">
      <c r="A111" s="283" t="s">
        <v>1423</v>
      </c>
      <c r="B111" s="284"/>
      <c r="C111" s="284"/>
      <c r="D111" s="463" t="s">
        <v>1424</v>
      </c>
      <c r="E111" s="464"/>
      <c r="F111" s="465"/>
      <c r="G111" s="466"/>
      <c r="H111" s="477">
        <f>+H109+H105+H101+H49+H34+H16</f>
        <v>0</v>
      </c>
      <c r="I111" s="321"/>
      <c r="J111" s="486">
        <f>SUM(J9:J108)</f>
        <v>0</v>
      </c>
      <c r="K111" s="486">
        <f t="shared" ref="K111:L111" si="32">SUM(K9:K108)</f>
        <v>0</v>
      </c>
      <c r="L111" s="486">
        <f t="shared" si="32"/>
        <v>0</v>
      </c>
      <c r="M111" s="322"/>
      <c r="N111" s="323"/>
    </row>
    <row r="112" spans="1:14" s="274" customFormat="1" ht="12.75" customHeight="1" thickBot="1">
      <c r="A112" s="283"/>
      <c r="B112" s="284"/>
      <c r="C112" s="284"/>
      <c r="D112" s="272"/>
      <c r="E112" s="287"/>
      <c r="F112" s="320"/>
      <c r="G112" s="289"/>
      <c r="H112" s="291"/>
      <c r="I112" s="291"/>
      <c r="J112" s="291"/>
    </row>
    <row r="113" spans="1:12" s="274" customFormat="1" ht="12.75" customHeight="1" thickBot="1">
      <c r="A113" s="283"/>
      <c r="B113" s="284"/>
      <c r="C113" s="284"/>
      <c r="D113" s="276"/>
      <c r="E113" s="287"/>
      <c r="F113" s="320"/>
      <c r="G113" s="289"/>
      <c r="H113" s="291"/>
      <c r="I113" s="291"/>
      <c r="J113" s="291" t="s">
        <v>1425</v>
      </c>
      <c r="K113" s="324">
        <f>SUM(J111:L111)</f>
        <v>0</v>
      </c>
      <c r="L113" s="325"/>
    </row>
    <row r="114" spans="1:12" s="274" customFormat="1" ht="12.75" customHeight="1" thickBot="1">
      <c r="A114" s="283"/>
      <c r="B114" s="284"/>
      <c r="C114" s="284"/>
      <c r="D114" s="463" t="s">
        <v>1426</v>
      </c>
      <c r="E114" s="464"/>
      <c r="F114" s="465"/>
      <c r="G114" s="466"/>
      <c r="H114" s="467"/>
      <c r="I114" s="291"/>
      <c r="J114" s="291"/>
      <c r="K114" s="325" t="s">
        <v>1427</v>
      </c>
      <c r="L114" s="265"/>
    </row>
    <row r="115" spans="1:12" s="274" customFormat="1" ht="12.75" customHeight="1" thickBot="1">
      <c r="A115" s="283"/>
      <c r="B115" s="284"/>
      <c r="C115" s="284"/>
      <c r="D115" s="272"/>
      <c r="E115" s="287"/>
      <c r="F115" s="320"/>
      <c r="G115" s="289"/>
      <c r="H115" s="291"/>
      <c r="I115" s="291"/>
      <c r="J115" s="291" t="s">
        <v>1428</v>
      </c>
      <c r="K115" s="326">
        <f>+K113*0.2</f>
        <v>0</v>
      </c>
      <c r="L115" s="265"/>
    </row>
    <row r="116" spans="1:12" s="274" customFormat="1" ht="12.75" customHeight="1" thickBot="1">
      <c r="A116" s="283"/>
      <c r="B116" s="284"/>
      <c r="C116" s="284"/>
      <c r="D116" s="327"/>
      <c r="E116" s="287"/>
      <c r="F116" s="320"/>
      <c r="G116" s="289"/>
      <c r="H116" s="291"/>
      <c r="I116" s="291"/>
      <c r="J116" s="291"/>
      <c r="K116" s="265"/>
      <c r="L116" s="265"/>
    </row>
    <row r="117" spans="1:12" s="274" customFormat="1" ht="12.75" customHeight="1" thickBot="1">
      <c r="A117" s="283" t="s">
        <v>1429</v>
      </c>
      <c r="B117" s="284"/>
      <c r="C117" s="284"/>
      <c r="D117" s="463" t="s">
        <v>1424</v>
      </c>
      <c r="E117" s="464" t="s">
        <v>1430</v>
      </c>
      <c r="F117" s="465" t="s">
        <v>1431</v>
      </c>
      <c r="G117" s="466"/>
      <c r="H117" s="467"/>
      <c r="I117" s="291"/>
      <c r="J117" s="328" t="s">
        <v>1432</v>
      </c>
      <c r="K117" s="329">
        <f>MIN(K115,L111)</f>
        <v>0</v>
      </c>
      <c r="L117" s="265"/>
    </row>
    <row r="118" spans="1:12" s="274" customFormat="1" ht="12.75" customHeight="1" thickBot="1">
      <c r="A118" s="283"/>
      <c r="B118" s="284" t="str">
        <f>+A8</f>
        <v>I</v>
      </c>
      <c r="C118" s="284"/>
      <c r="D118" s="286" t="str">
        <f>+D8</f>
        <v>Acquisition</v>
      </c>
      <c r="E118" s="330">
        <f t="shared" ref="E118:E123" si="33">IF($H$124&lt;=0,0,H118/$H$124)</f>
        <v>0</v>
      </c>
      <c r="F118" s="288">
        <f>IF($H$3&lt;=0,0,H118/$H$3)</f>
        <v>0</v>
      </c>
      <c r="G118" s="289"/>
      <c r="H118" s="480">
        <f>+H16</f>
        <v>0</v>
      </c>
      <c r="I118" s="331"/>
      <c r="J118" s="331"/>
    </row>
    <row r="119" spans="1:12" s="274" customFormat="1" ht="12.75" customHeight="1" thickBot="1">
      <c r="A119" s="283"/>
      <c r="B119" s="284" t="str">
        <f>+A18</f>
        <v>II</v>
      </c>
      <c r="C119" s="284"/>
      <c r="D119" s="286" t="str">
        <f>+D18</f>
        <v>Improvements</v>
      </c>
      <c r="E119" s="330">
        <f t="shared" si="33"/>
        <v>0</v>
      </c>
      <c r="F119" s="288">
        <f t="shared" ref="F119:F123" si="34">IF($H$3&lt;=0,0,H119/$H$3)</f>
        <v>0</v>
      </c>
      <c r="G119" s="289"/>
      <c r="H119" s="480">
        <f>+H34</f>
        <v>0</v>
      </c>
      <c r="I119" s="331"/>
      <c r="J119" s="332" t="s">
        <v>1433</v>
      </c>
      <c r="K119" s="485">
        <f>SUM(J111:L111)-L111+K117</f>
        <v>0</v>
      </c>
      <c r="L119" s="323"/>
    </row>
    <row r="120" spans="1:12" s="274" customFormat="1" ht="12.75" customHeight="1">
      <c r="A120" s="283"/>
      <c r="B120" s="284" t="str">
        <f>+A36</f>
        <v>III</v>
      </c>
      <c r="C120" s="284"/>
      <c r="D120" s="286" t="str">
        <f>+D36</f>
        <v>Professional Services</v>
      </c>
      <c r="E120" s="330">
        <f t="shared" si="33"/>
        <v>0</v>
      </c>
      <c r="F120" s="288">
        <f t="shared" si="34"/>
        <v>0</v>
      </c>
      <c r="G120" s="289"/>
      <c r="H120" s="480">
        <f>+H49</f>
        <v>0</v>
      </c>
      <c r="I120" s="331"/>
      <c r="J120" s="331"/>
    </row>
    <row r="121" spans="1:12" s="274" customFormat="1" ht="12.75" customHeight="1" thickBot="1">
      <c r="A121" s="283"/>
      <c r="B121" s="284" t="str">
        <f>+A51</f>
        <v>IV</v>
      </c>
      <c r="C121" s="284"/>
      <c r="D121" s="286" t="str">
        <f>+D51</f>
        <v>Financing and Other Costs</v>
      </c>
      <c r="E121" s="330">
        <f t="shared" si="33"/>
        <v>0</v>
      </c>
      <c r="F121" s="288">
        <f t="shared" si="34"/>
        <v>0</v>
      </c>
      <c r="G121" s="289"/>
      <c r="H121" s="480">
        <f>+H101</f>
        <v>0</v>
      </c>
      <c r="I121" s="331"/>
    </row>
    <row r="122" spans="1:12" s="274" customFormat="1" ht="12.75" customHeight="1">
      <c r="A122" s="283"/>
      <c r="B122" s="284" t="str">
        <f>+A103</f>
        <v>V</v>
      </c>
      <c r="C122" s="284"/>
      <c r="D122" s="286" t="str">
        <f>+D103</f>
        <v>Contingency</v>
      </c>
      <c r="E122" s="330">
        <f t="shared" si="33"/>
        <v>0</v>
      </c>
      <c r="F122" s="288">
        <f t="shared" si="34"/>
        <v>0</v>
      </c>
      <c r="G122" s="289"/>
      <c r="H122" s="480">
        <f>H105</f>
        <v>0</v>
      </c>
      <c r="I122" s="331"/>
      <c r="J122" s="333" t="s">
        <v>1434</v>
      </c>
      <c r="K122" s="334"/>
    </row>
    <row r="123" spans="1:12" s="274" customFormat="1" ht="12.75" customHeight="1" thickBot="1">
      <c r="A123" s="283"/>
      <c r="B123" s="284" t="str">
        <f>+A107</f>
        <v>VI</v>
      </c>
      <c r="C123" s="284"/>
      <c r="D123" s="293" t="str">
        <f>+D107</f>
        <v>Development Fee</v>
      </c>
      <c r="E123" s="335">
        <f t="shared" si="33"/>
        <v>0</v>
      </c>
      <c r="F123" s="311">
        <f t="shared" si="34"/>
        <v>0</v>
      </c>
      <c r="G123" s="296"/>
      <c r="H123" s="481">
        <f>+H109</f>
        <v>0</v>
      </c>
      <c r="I123" s="331"/>
      <c r="J123" s="336" t="s">
        <v>1435</v>
      </c>
      <c r="K123" s="482">
        <f>+H111</f>
        <v>0</v>
      </c>
    </row>
    <row r="124" spans="1:12" s="274" customFormat="1" ht="12.75" customHeight="1" thickTop="1" thickBot="1">
      <c r="A124" s="283"/>
      <c r="B124" s="284"/>
      <c r="C124" s="284"/>
      <c r="D124" s="269" t="s">
        <v>1436</v>
      </c>
      <c r="E124" s="330">
        <f>SUM(E118:E123)</f>
        <v>0</v>
      </c>
      <c r="F124" s="288">
        <f>SUM(F118:F123)</f>
        <v>0</v>
      </c>
      <c r="G124" s="289"/>
      <c r="H124" s="477">
        <f>SUM(H118:H123)</f>
        <v>0</v>
      </c>
      <c r="I124" s="300"/>
      <c r="J124" s="337" t="s">
        <v>1425</v>
      </c>
      <c r="K124" s="484">
        <f>+K119</f>
        <v>0</v>
      </c>
    </row>
    <row r="125" spans="1:12" s="274" customFormat="1" ht="12.75" customHeight="1" thickTop="1" thickBot="1">
      <c r="A125" s="283"/>
      <c r="B125" s="284"/>
      <c r="C125" s="284"/>
      <c r="D125" s="269"/>
      <c r="E125" s="330"/>
      <c r="F125" s="288"/>
      <c r="G125" s="289"/>
      <c r="H125" s="300"/>
      <c r="I125" s="300"/>
      <c r="J125" s="338" t="s">
        <v>1437</v>
      </c>
      <c r="K125" s="483">
        <f>+K123-K124</f>
        <v>0</v>
      </c>
    </row>
    <row r="126" spans="1:12" s="274" customFormat="1" ht="12.75" customHeight="1" thickBot="1">
      <c r="A126" s="283" t="s">
        <v>1438</v>
      </c>
      <c r="B126" s="284"/>
      <c r="C126" s="284"/>
      <c r="D126" s="463" t="s">
        <v>1439</v>
      </c>
      <c r="E126" s="464" t="s">
        <v>1440</v>
      </c>
      <c r="F126" s="465" t="s">
        <v>1441</v>
      </c>
      <c r="G126" s="466" t="s">
        <v>1442</v>
      </c>
      <c r="H126" s="467"/>
      <c r="I126" s="300"/>
      <c r="J126" s="300"/>
    </row>
    <row r="127" spans="1:12" s="274" customFormat="1" ht="12.75" customHeight="1" thickBot="1">
      <c r="A127" s="283"/>
      <c r="B127" s="284">
        <v>1</v>
      </c>
      <c r="C127" s="284"/>
      <c r="D127" s="339"/>
      <c r="E127" s="340"/>
      <c r="F127" s="341"/>
      <c r="G127" s="342"/>
      <c r="H127" s="343"/>
      <c r="I127" s="300"/>
      <c r="J127" s="487" t="s">
        <v>1443</v>
      </c>
      <c r="K127" s="488">
        <f>+K119*0.2</f>
        <v>0</v>
      </c>
    </row>
    <row r="128" spans="1:12" s="274" customFormat="1" ht="12.75" customHeight="1">
      <c r="A128" s="283"/>
      <c r="B128" s="284">
        <f>+B127+1</f>
        <v>2</v>
      </c>
      <c r="C128" s="284"/>
      <c r="D128" s="339"/>
      <c r="E128" s="344"/>
      <c r="F128" s="345"/>
      <c r="G128" s="342"/>
      <c r="H128" s="343"/>
      <c r="I128" s="300"/>
      <c r="J128" s="300"/>
    </row>
    <row r="129" spans="1:11" s="274" customFormat="1" ht="12.75" customHeight="1">
      <c r="A129" s="283"/>
      <c r="B129" s="284">
        <f>+B128+1</f>
        <v>3</v>
      </c>
      <c r="C129" s="284"/>
      <c r="D129" s="339"/>
      <c r="E129" s="344"/>
      <c r="F129" s="345"/>
      <c r="G129" s="342"/>
      <c r="H129" s="343"/>
      <c r="I129" s="300"/>
      <c r="J129" s="300"/>
    </row>
    <row r="130" spans="1:11" s="274" customFormat="1" ht="12.75" customHeight="1">
      <c r="A130" s="283"/>
      <c r="B130" s="284">
        <f>+B129+1</f>
        <v>4</v>
      </c>
      <c r="C130" s="284"/>
      <c r="D130" s="339"/>
      <c r="E130" s="344"/>
      <c r="F130" s="345"/>
      <c r="G130" s="342"/>
      <c r="H130" s="343"/>
      <c r="I130" s="300"/>
      <c r="J130" s="300"/>
    </row>
    <row r="131" spans="1:11" s="274" customFormat="1" ht="12.75" customHeight="1">
      <c r="A131" s="283"/>
      <c r="B131" s="284">
        <f t="shared" ref="B131:B133" si="35">+B130+1</f>
        <v>5</v>
      </c>
      <c r="C131" s="284"/>
      <c r="D131" s="339"/>
      <c r="E131" s="344"/>
      <c r="F131" s="345"/>
      <c r="G131" s="342"/>
      <c r="H131" s="346"/>
      <c r="I131" s="300"/>
      <c r="J131" s="300"/>
    </row>
    <row r="132" spans="1:11" s="274" customFormat="1" ht="12.75" customHeight="1">
      <c r="A132" s="283"/>
      <c r="B132" s="284">
        <f t="shared" si="35"/>
        <v>6</v>
      </c>
      <c r="C132" s="284"/>
      <c r="D132" s="339"/>
      <c r="E132" s="344"/>
      <c r="F132" s="345"/>
      <c r="G132" s="342"/>
      <c r="H132" s="346"/>
      <c r="I132" s="300"/>
      <c r="J132" s="300"/>
    </row>
    <row r="133" spans="1:11" s="274" customFormat="1" ht="12.75" customHeight="1" thickBot="1">
      <c r="A133" s="283"/>
      <c r="B133" s="284">
        <f t="shared" si="35"/>
        <v>7</v>
      </c>
      <c r="C133" s="284"/>
      <c r="D133" s="347"/>
      <c r="E133" s="348"/>
      <c r="F133" s="349"/>
      <c r="G133" s="350"/>
      <c r="H133" s="351"/>
      <c r="I133" s="300"/>
      <c r="J133" s="300"/>
    </row>
    <row r="134" spans="1:11" s="274" customFormat="1" ht="12.75" customHeight="1" thickTop="1">
      <c r="A134" s="283"/>
      <c r="B134" s="276"/>
      <c r="C134" s="276"/>
      <c r="D134" s="269" t="s">
        <v>1436</v>
      </c>
      <c r="E134" s="352"/>
      <c r="F134" s="353"/>
      <c r="G134" s="354"/>
      <c r="H134" s="477">
        <f>SUM(H127:H133)</f>
        <v>0</v>
      </c>
      <c r="I134" s="291"/>
      <c r="J134" s="291"/>
    </row>
    <row r="135" spans="1:11" s="274" customFormat="1" ht="12.75" customHeight="1">
      <c r="A135" s="283"/>
      <c r="B135" s="276"/>
      <c r="C135" s="276"/>
      <c r="D135" s="269"/>
      <c r="E135" s="352"/>
      <c r="F135" s="355"/>
      <c r="G135" s="354"/>
      <c r="H135" s="356"/>
      <c r="I135" s="291"/>
      <c r="J135" s="291"/>
    </row>
    <row r="136" spans="1:11" s="274" customFormat="1" ht="12.75" customHeight="1" thickBot="1">
      <c r="A136" s="283"/>
      <c r="B136" s="276"/>
      <c r="C136" s="276"/>
      <c r="D136" s="269"/>
      <c r="E136" s="352"/>
      <c r="F136" s="357"/>
      <c r="G136" s="354"/>
      <c r="H136" s="356"/>
      <c r="I136" s="291"/>
      <c r="J136" s="291"/>
    </row>
    <row r="137" spans="1:11" ht="14.1" customHeight="1">
      <c r="A137" s="283" t="s">
        <v>1335</v>
      </c>
      <c r="B137" s="284"/>
      <c r="C137" s="284"/>
      <c r="D137" s="463" t="s">
        <v>1444</v>
      </c>
      <c r="E137" s="464" t="s">
        <v>1440</v>
      </c>
      <c r="F137" s="465" t="s">
        <v>1445</v>
      </c>
      <c r="G137" s="466" t="s">
        <v>1442</v>
      </c>
      <c r="H137" s="467"/>
      <c r="I137" s="291"/>
      <c r="J137" s="291"/>
      <c r="K137" s="489" t="s">
        <v>1446</v>
      </c>
    </row>
    <row r="138" spans="1:11" ht="14.1" customHeight="1">
      <c r="A138" s="272"/>
      <c r="B138" s="284">
        <v>1</v>
      </c>
      <c r="C138" s="284"/>
      <c r="D138" s="339"/>
      <c r="E138" s="344"/>
      <c r="F138" s="345"/>
      <c r="G138" s="342"/>
      <c r="H138" s="290"/>
      <c r="I138" s="291"/>
      <c r="J138" s="291"/>
      <c r="K138" s="490">
        <f>IF(G138&lt;=0,0,PMT(E138,G138,-H138))</f>
        <v>0</v>
      </c>
    </row>
    <row r="139" spans="1:11" ht="14.1" customHeight="1">
      <c r="A139" s="272"/>
      <c r="B139" s="284">
        <f>+B138+1</f>
        <v>2</v>
      </c>
      <c r="C139" s="284"/>
      <c r="D139" s="339"/>
      <c r="E139" s="344"/>
      <c r="F139" s="345"/>
      <c r="G139" s="342"/>
      <c r="H139" s="290"/>
      <c r="I139" s="291"/>
      <c r="J139" s="291"/>
      <c r="K139" s="490">
        <f>IF(G139&lt;=0,0,PMT(E139,G139,-H139))</f>
        <v>0</v>
      </c>
    </row>
    <row r="140" spans="1:11" ht="14.1" customHeight="1">
      <c r="A140" s="272"/>
      <c r="B140" s="284">
        <f>+B139+1</f>
        <v>3</v>
      </c>
      <c r="C140" s="284"/>
      <c r="D140" s="339"/>
      <c r="E140" s="344"/>
      <c r="F140" s="345"/>
      <c r="G140" s="342"/>
      <c r="H140" s="358"/>
      <c r="I140" s="291"/>
      <c r="J140" s="291"/>
      <c r="K140" s="490">
        <f>IF(G140&lt;=0,0,PMT(E140,G140,-H140))</f>
        <v>0</v>
      </c>
    </row>
    <row r="141" spans="1:11" ht="14.1" customHeight="1">
      <c r="A141" s="272"/>
      <c r="B141" s="284">
        <f t="shared" ref="B141:B144" si="36">+B140+1</f>
        <v>4</v>
      </c>
      <c r="C141" s="284"/>
      <c r="D141" s="339"/>
      <c r="E141" s="344"/>
      <c r="F141" s="345"/>
      <c r="G141" s="342"/>
      <c r="H141" s="358"/>
      <c r="I141" s="291"/>
      <c r="J141" s="291"/>
      <c r="K141" s="490">
        <f t="shared" ref="K141:K142" si="37">IF(G141&lt;=0,0,PMT(E141,G141,-H141))</f>
        <v>0</v>
      </c>
    </row>
    <row r="142" spans="1:11" ht="14.1" customHeight="1">
      <c r="A142" s="272"/>
      <c r="B142" s="284">
        <f t="shared" si="36"/>
        <v>5</v>
      </c>
      <c r="C142" s="284"/>
      <c r="D142" s="339"/>
      <c r="E142" s="344"/>
      <c r="F142" s="345"/>
      <c r="G142" s="342"/>
      <c r="H142" s="290"/>
      <c r="I142" s="291"/>
      <c r="J142" s="291"/>
      <c r="K142" s="490">
        <f t="shared" si="37"/>
        <v>0</v>
      </c>
    </row>
    <row r="143" spans="1:11" ht="14.1" customHeight="1">
      <c r="A143" s="272"/>
      <c r="B143" s="284">
        <f t="shared" si="36"/>
        <v>6</v>
      </c>
      <c r="C143" s="284"/>
      <c r="D143" s="339"/>
      <c r="E143" s="344"/>
      <c r="F143" s="345"/>
      <c r="G143" s="342"/>
      <c r="H143" s="290"/>
      <c r="I143" s="291"/>
      <c r="J143" s="291"/>
      <c r="K143" s="490">
        <f>IF(G143&lt;=0,0,PMT(E143,G143,-H143))</f>
        <v>0</v>
      </c>
    </row>
    <row r="144" spans="1:11" ht="14.1" customHeight="1" thickBot="1">
      <c r="A144" s="272"/>
      <c r="B144" s="284">
        <f t="shared" si="36"/>
        <v>7</v>
      </c>
      <c r="C144" s="284"/>
      <c r="D144" s="347"/>
      <c r="E144" s="348"/>
      <c r="F144" s="349"/>
      <c r="G144" s="350"/>
      <c r="H144" s="297"/>
      <c r="I144" s="291"/>
      <c r="J144" s="291"/>
      <c r="K144" s="490">
        <f>IF(G144&lt;=0,0,PMT(E144,G144,-H144))</f>
        <v>0</v>
      </c>
    </row>
    <row r="145" spans="1:11" ht="14.1" customHeight="1" thickTop="1" thickBot="1">
      <c r="A145" s="272"/>
      <c r="B145" s="276"/>
      <c r="C145" s="276"/>
      <c r="D145" s="269" t="s">
        <v>1436</v>
      </c>
      <c r="E145" s="352"/>
      <c r="F145" s="357"/>
      <c r="H145" s="477">
        <f>SUM(H138:H144)</f>
        <v>0</v>
      </c>
      <c r="I145" s="356"/>
      <c r="J145" s="356" t="s">
        <v>1447</v>
      </c>
      <c r="K145" s="491">
        <f>SUM(K138:K144)</f>
        <v>0</v>
      </c>
    </row>
    <row r="146" spans="1:11" ht="14.1" customHeight="1">
      <c r="A146" s="272"/>
      <c r="B146" s="276"/>
      <c r="C146" s="276"/>
      <c r="D146" s="269"/>
      <c r="E146" s="352"/>
      <c r="F146" s="357"/>
      <c r="H146" s="356"/>
      <c r="I146" s="356"/>
      <c r="J146" s="356"/>
    </row>
    <row r="147" spans="1:11" ht="14.1" customHeight="1">
      <c r="A147" s="283" t="s">
        <v>1448</v>
      </c>
      <c r="B147" s="276"/>
      <c r="C147" s="276"/>
      <c r="D147" s="463" t="s">
        <v>1449</v>
      </c>
      <c r="E147" s="464"/>
      <c r="F147" s="465"/>
      <c r="G147" s="466"/>
      <c r="H147" s="467"/>
      <c r="I147" s="272"/>
      <c r="J147" s="272"/>
    </row>
    <row r="148" spans="1:11" ht="14.1" customHeight="1">
      <c r="A148" s="272"/>
      <c r="B148" s="276" t="str">
        <f>+A117</f>
        <v>VIII</v>
      </c>
      <c r="C148" s="276"/>
      <c r="D148" s="359" t="str">
        <f>+D137</f>
        <v>TOTAL SOURCES (Permanent)</v>
      </c>
      <c r="E148" s="352"/>
      <c r="F148" s="357"/>
      <c r="H148" s="480">
        <f>+H145</f>
        <v>0</v>
      </c>
      <c r="I148" s="356"/>
      <c r="J148" s="356"/>
    </row>
    <row r="149" spans="1:11" ht="14.1" customHeight="1" thickBot="1">
      <c r="A149" s="272"/>
      <c r="B149" s="276" t="str">
        <f>+A137</f>
        <v>X</v>
      </c>
      <c r="C149" s="276"/>
      <c r="D149" s="360" t="str">
        <f>+D117</f>
        <v>TOTAL USES</v>
      </c>
      <c r="E149" s="361"/>
      <c r="F149" s="362"/>
      <c r="G149" s="363"/>
      <c r="H149" s="481">
        <f>+H124</f>
        <v>0</v>
      </c>
      <c r="I149" s="356"/>
      <c r="J149" s="356"/>
    </row>
    <row r="150" spans="1:11" ht="14.1" customHeight="1" thickTop="1">
      <c r="A150" s="272"/>
      <c r="B150" s="276"/>
      <c r="C150" s="276"/>
      <c r="D150" s="269"/>
      <c r="E150" s="352"/>
      <c r="F150" s="357"/>
      <c r="H150" s="477">
        <f>+H148-H149</f>
        <v>0</v>
      </c>
      <c r="I150" s="356"/>
      <c r="J150" s="356"/>
    </row>
    <row r="151" spans="1:11" ht="14.1" customHeight="1">
      <c r="A151" s="364"/>
      <c r="B151" s="365"/>
      <c r="C151" s="365"/>
      <c r="D151" s="265"/>
      <c r="E151" s="366"/>
      <c r="F151" s="365"/>
      <c r="G151" s="365"/>
      <c r="H151" s="367" t="str">
        <f>IF(H150&lt;0, "GAP", "NO GAP")</f>
        <v>NO GAP</v>
      </c>
      <c r="I151" s="367"/>
      <c r="J151" s="367"/>
    </row>
    <row r="152" spans="1:11" ht="14.1" customHeight="1">
      <c r="A152" s="274"/>
      <c r="B152" s="265"/>
      <c r="C152" s="265"/>
      <c r="D152" s="274"/>
      <c r="E152" s="368"/>
      <c r="F152" s="265"/>
      <c r="G152" s="265"/>
      <c r="H152" s="369"/>
      <c r="I152" s="369"/>
      <c r="J152" s="369"/>
    </row>
    <row r="153" spans="1:11" ht="14.1" customHeight="1">
      <c r="A153" s="274"/>
      <c r="B153" s="370"/>
      <c r="C153" s="265"/>
      <c r="D153" s="265"/>
      <c r="E153" s="368"/>
      <c r="F153" s="265"/>
      <c r="G153" s="265"/>
      <c r="H153" s="371"/>
      <c r="I153" s="371"/>
      <c r="J153" s="371"/>
    </row>
    <row r="154" spans="1:11" ht="14.1" customHeight="1">
      <c r="A154" s="274"/>
      <c r="B154" s="370"/>
      <c r="C154" s="265"/>
      <c r="D154" s="265"/>
      <c r="E154" s="368"/>
      <c r="F154" s="265"/>
      <c r="G154" s="265"/>
      <c r="H154" s="371"/>
      <c r="I154" s="371"/>
      <c r="J154" s="371"/>
    </row>
    <row r="155" spans="1:11" ht="14.1" customHeight="1">
      <c r="A155" s="274"/>
      <c r="B155" s="370"/>
      <c r="C155" s="265"/>
      <c r="D155" s="265"/>
      <c r="E155" s="368"/>
      <c r="F155" s="265"/>
      <c r="G155" s="265"/>
      <c r="H155" s="371"/>
      <c r="I155" s="371"/>
      <c r="J155" s="371"/>
    </row>
    <row r="156" spans="1:11" s="365" customFormat="1" ht="14.1" customHeight="1">
      <c r="A156" s="372"/>
      <c r="B156" s="373"/>
      <c r="D156" s="374"/>
      <c r="E156" s="375"/>
      <c r="I156" s="318"/>
      <c r="J156" s="318"/>
    </row>
    <row r="157" spans="1:11" s="365" customFormat="1" ht="14.1" customHeight="1">
      <c r="A157" s="376"/>
      <c r="B157" s="373"/>
      <c r="D157" s="374"/>
      <c r="E157" s="376"/>
      <c r="I157" s="318"/>
      <c r="J157" s="318"/>
    </row>
    <row r="158" spans="1:11" s="365" customFormat="1" ht="14.1" customHeight="1">
      <c r="A158" s="376"/>
      <c r="B158" s="373"/>
      <c r="D158" s="374"/>
      <c r="E158" s="376"/>
      <c r="I158" s="318"/>
      <c r="J158" s="318"/>
    </row>
    <row r="159" spans="1:11" s="365" customFormat="1" ht="14.1" customHeight="1">
      <c r="A159" s="376"/>
      <c r="B159" s="373"/>
      <c r="D159" s="374"/>
      <c r="E159" s="376"/>
      <c r="I159" s="318"/>
      <c r="J159" s="318"/>
    </row>
    <row r="160" spans="1:11" s="365" customFormat="1" ht="14.1" customHeight="1">
      <c r="A160" s="376"/>
      <c r="B160" s="373"/>
      <c r="D160" s="374"/>
      <c r="E160" s="376"/>
      <c r="I160" s="318"/>
      <c r="J160" s="318"/>
    </row>
    <row r="161" spans="1:12" s="365" customFormat="1" ht="14.1" customHeight="1">
      <c r="A161" s="376"/>
      <c r="B161" s="373"/>
      <c r="D161" s="374"/>
      <c r="E161" s="376"/>
      <c r="I161" s="318"/>
      <c r="J161" s="318"/>
    </row>
    <row r="162" spans="1:12" s="365" customFormat="1" ht="12.6" customHeight="1">
      <c r="I162" s="318"/>
      <c r="J162" s="318"/>
    </row>
    <row r="163" spans="1:12" s="365" customFormat="1" ht="13.5" customHeight="1">
      <c r="E163" s="366"/>
      <c r="H163" s="377"/>
      <c r="I163" s="378"/>
      <c r="J163" s="378"/>
    </row>
    <row r="164" spans="1:12" s="365" customFormat="1" ht="13.5" customHeight="1">
      <c r="E164" s="366"/>
      <c r="H164" s="379"/>
      <c r="I164" s="380"/>
      <c r="J164" s="380"/>
    </row>
    <row r="165" spans="1:12" s="365" customFormat="1" ht="13.5" customHeight="1">
      <c r="E165" s="366"/>
      <c r="I165" s="318"/>
      <c r="J165" s="318"/>
    </row>
    <row r="166" spans="1:12" s="365" customFormat="1" ht="13.5" customHeight="1">
      <c r="E166" s="366"/>
      <c r="I166" s="318"/>
      <c r="J166" s="318"/>
    </row>
    <row r="167" spans="1:12" s="365" customFormat="1" ht="13.5" customHeight="1">
      <c r="E167" s="366"/>
      <c r="I167" s="318"/>
      <c r="J167" s="318"/>
    </row>
    <row r="168" spans="1:12" s="365" customFormat="1" ht="13.5" customHeight="1">
      <c r="E168" s="366"/>
      <c r="I168" s="318"/>
      <c r="J168" s="318"/>
    </row>
    <row r="169" spans="1:12" s="365" customFormat="1" ht="13.5" customHeight="1">
      <c r="E169" s="366"/>
      <c r="I169" s="318"/>
      <c r="J169" s="318"/>
    </row>
    <row r="170" spans="1:12" s="365" customFormat="1" ht="13.5" customHeight="1">
      <c r="E170" s="366"/>
      <c r="I170" s="318"/>
      <c r="J170" s="318"/>
    </row>
    <row r="171" spans="1:12" s="365" customFormat="1" ht="14.1" customHeight="1">
      <c r="E171" s="366"/>
      <c r="I171" s="318"/>
      <c r="J171" s="318"/>
    </row>
    <row r="172" spans="1:12" s="365" customFormat="1" ht="14.1" customHeight="1">
      <c r="E172" s="366"/>
      <c r="I172" s="318"/>
      <c r="J172" s="318"/>
    </row>
    <row r="173" spans="1:12" s="365" customFormat="1" ht="14.1" customHeight="1">
      <c r="E173" s="366"/>
      <c r="I173" s="318"/>
      <c r="J173" s="318"/>
    </row>
    <row r="174" spans="1:12" s="365" customFormat="1" ht="12" customHeight="1">
      <c r="E174" s="366"/>
      <c r="I174" s="318"/>
      <c r="J174" s="318"/>
      <c r="L174" s="265"/>
    </row>
    <row r="175" spans="1:12" s="365" customFormat="1" ht="12" customHeight="1">
      <c r="E175" s="366"/>
      <c r="I175" s="318"/>
      <c r="J175" s="318"/>
      <c r="L175" s="274"/>
    </row>
    <row r="176" spans="1:12" s="365" customFormat="1" ht="12" customHeight="1">
      <c r="E176" s="366"/>
      <c r="I176" s="318"/>
      <c r="J176" s="318"/>
      <c r="L176" s="265"/>
    </row>
    <row r="177" spans="5:12" s="365" customFormat="1" ht="12" customHeight="1">
      <c r="E177" s="366"/>
      <c r="I177" s="318"/>
      <c r="J177" s="318"/>
      <c r="L177" s="265"/>
    </row>
    <row r="178" spans="5:12" s="365" customFormat="1" ht="12" customHeight="1">
      <c r="E178" s="366"/>
      <c r="I178" s="318"/>
      <c r="J178" s="318"/>
      <c r="L178" s="265"/>
    </row>
    <row r="179" spans="5:12" s="365" customFormat="1" ht="12" customHeight="1">
      <c r="E179" s="366"/>
      <c r="I179" s="318"/>
      <c r="J179" s="318"/>
      <c r="L179" s="265"/>
    </row>
    <row r="180" spans="5:12" s="365" customFormat="1" ht="12" customHeight="1">
      <c r="E180" s="366"/>
      <c r="I180" s="318"/>
      <c r="J180" s="318"/>
      <c r="L180" s="265"/>
    </row>
    <row r="181" spans="5:12" s="365" customFormat="1" ht="12" customHeight="1">
      <c r="E181" s="366"/>
      <c r="I181" s="318"/>
      <c r="J181" s="318"/>
      <c r="L181" s="265"/>
    </row>
    <row r="182" spans="5:12" s="365" customFormat="1" ht="12" customHeight="1">
      <c r="E182" s="366"/>
      <c r="I182" s="318"/>
      <c r="J182" s="318"/>
      <c r="L182" s="265"/>
    </row>
    <row r="183" spans="5:12" s="365" customFormat="1" ht="12" customHeight="1">
      <c r="E183" s="366"/>
      <c r="I183" s="318"/>
      <c r="J183" s="318"/>
      <c r="L183" s="265"/>
    </row>
    <row r="184" spans="5:12" s="365" customFormat="1" ht="12" customHeight="1">
      <c r="E184" s="366"/>
      <c r="I184" s="318"/>
      <c r="J184" s="318"/>
      <c r="L184" s="265"/>
    </row>
    <row r="185" spans="5:12" s="365" customFormat="1" ht="12" customHeight="1">
      <c r="E185" s="366"/>
      <c r="I185" s="318"/>
      <c r="J185" s="318"/>
      <c r="L185" s="265"/>
    </row>
    <row r="186" spans="5:12" s="365" customFormat="1" ht="12" customHeight="1">
      <c r="E186" s="366"/>
      <c r="I186" s="318"/>
      <c r="J186" s="318"/>
      <c r="L186" s="265"/>
    </row>
    <row r="187" spans="5:12" s="365" customFormat="1" ht="12" customHeight="1">
      <c r="E187" s="366"/>
      <c r="I187" s="318"/>
      <c r="J187" s="318"/>
      <c r="L187" s="265"/>
    </row>
    <row r="188" spans="5:12" s="365" customFormat="1" ht="12" customHeight="1">
      <c r="E188" s="366"/>
      <c r="I188" s="318"/>
      <c r="J188" s="318"/>
      <c r="L188" s="274"/>
    </row>
    <row r="189" spans="5:12" s="365" customFormat="1" ht="12" customHeight="1">
      <c r="E189" s="366"/>
      <c r="I189" s="318"/>
      <c r="J189" s="318"/>
      <c r="L189" s="265"/>
    </row>
    <row r="190" spans="5:12" s="365" customFormat="1" ht="12" customHeight="1">
      <c r="E190" s="366"/>
      <c r="I190" s="318"/>
      <c r="J190" s="318"/>
      <c r="L190" s="265"/>
    </row>
    <row r="191" spans="5:12" s="365" customFormat="1" ht="12" customHeight="1">
      <c r="E191" s="366"/>
      <c r="I191" s="318"/>
      <c r="J191" s="318"/>
      <c r="L191" s="265"/>
    </row>
    <row r="192" spans="5:12" s="365" customFormat="1" ht="12" customHeight="1">
      <c r="E192" s="366"/>
      <c r="I192" s="318"/>
      <c r="J192" s="318"/>
      <c r="L192" s="265"/>
    </row>
    <row r="193" spans="5:12" s="365" customFormat="1" ht="12" customHeight="1">
      <c r="E193" s="366"/>
      <c r="I193" s="318"/>
      <c r="J193" s="318"/>
      <c r="L193" s="265"/>
    </row>
    <row r="194" spans="5:12" s="365" customFormat="1" ht="12" customHeight="1">
      <c r="E194" s="366"/>
      <c r="I194" s="318"/>
      <c r="J194" s="318"/>
      <c r="L194" s="265"/>
    </row>
    <row r="195" spans="5:12" s="365" customFormat="1" ht="12" customHeight="1">
      <c r="E195" s="366"/>
      <c r="I195" s="318"/>
      <c r="J195" s="318"/>
      <c r="L195" s="274"/>
    </row>
    <row r="196" spans="5:12" s="365" customFormat="1" ht="12" customHeight="1">
      <c r="E196" s="366"/>
      <c r="I196" s="318"/>
      <c r="J196" s="318"/>
      <c r="L196" s="265"/>
    </row>
    <row r="197" spans="5:12" s="365" customFormat="1" ht="12" customHeight="1">
      <c r="E197" s="366"/>
      <c r="I197" s="318"/>
      <c r="J197" s="318"/>
      <c r="L197" s="265"/>
    </row>
    <row r="198" spans="5:12" s="365" customFormat="1" ht="12" customHeight="1">
      <c r="E198" s="366"/>
      <c r="I198" s="318"/>
      <c r="J198" s="318"/>
      <c r="L198" s="265"/>
    </row>
    <row r="199" spans="5:12" s="365" customFormat="1" ht="12" customHeight="1">
      <c r="E199" s="366"/>
      <c r="I199" s="318"/>
      <c r="J199" s="318"/>
      <c r="L199" s="265"/>
    </row>
    <row r="200" spans="5:12" s="365" customFormat="1" ht="12" customHeight="1">
      <c r="E200" s="366"/>
      <c r="I200" s="318"/>
      <c r="J200" s="318"/>
      <c r="L200" s="265"/>
    </row>
    <row r="201" spans="5:12" s="365" customFormat="1" ht="12" customHeight="1">
      <c r="E201" s="366"/>
      <c r="I201" s="318"/>
      <c r="J201" s="318"/>
      <c r="L201" s="265"/>
    </row>
    <row r="202" spans="5:12" s="365" customFormat="1" ht="12" customHeight="1">
      <c r="E202" s="366"/>
      <c r="I202" s="318"/>
      <c r="J202" s="318"/>
      <c r="L202" s="265"/>
    </row>
    <row r="203" spans="5:12" s="365" customFormat="1" ht="12" customHeight="1">
      <c r="E203" s="366"/>
      <c r="I203" s="318"/>
      <c r="J203" s="318"/>
      <c r="L203" s="265"/>
    </row>
    <row r="204" spans="5:12" s="365" customFormat="1" ht="12" customHeight="1">
      <c r="E204" s="366"/>
      <c r="I204" s="318"/>
      <c r="J204" s="318"/>
      <c r="L204" s="265"/>
    </row>
    <row r="205" spans="5:12" s="365" customFormat="1" ht="12" customHeight="1">
      <c r="E205" s="366"/>
      <c r="I205" s="318"/>
      <c r="J205" s="318"/>
    </row>
    <row r="206" spans="5:12" s="365" customFormat="1" ht="12" customHeight="1">
      <c r="E206" s="366"/>
      <c r="I206" s="318"/>
      <c r="J206" s="318"/>
    </row>
    <row r="207" spans="5:12" s="365" customFormat="1" ht="14.1" customHeight="1">
      <c r="E207" s="366"/>
      <c r="I207" s="318"/>
      <c r="J207" s="318"/>
    </row>
    <row r="208" spans="5:12" s="365" customFormat="1" ht="14.1" customHeight="1">
      <c r="E208" s="366"/>
      <c r="I208" s="318"/>
      <c r="J208" s="318"/>
    </row>
    <row r="209" spans="5:10" s="365" customFormat="1" ht="14.1" customHeight="1">
      <c r="E209" s="366"/>
      <c r="I209" s="318"/>
      <c r="J209" s="318"/>
    </row>
    <row r="210" spans="5:10" s="365" customFormat="1" ht="17.100000000000001" customHeight="1">
      <c r="E210" s="366"/>
      <c r="I210" s="318"/>
      <c r="J210" s="318"/>
    </row>
    <row r="211" spans="5:10" s="365" customFormat="1" ht="14.1" customHeight="1">
      <c r="E211" s="366"/>
      <c r="I211" s="318"/>
      <c r="J211" s="318"/>
    </row>
    <row r="212" spans="5:10" s="365" customFormat="1" ht="14.1" customHeight="1">
      <c r="E212" s="366"/>
      <c r="I212" s="318"/>
      <c r="J212" s="318"/>
    </row>
    <row r="213" spans="5:10" s="365" customFormat="1" ht="14.1" customHeight="1">
      <c r="E213" s="366"/>
      <c r="I213" s="318"/>
      <c r="J213" s="318"/>
    </row>
    <row r="214" spans="5:10" s="365" customFormat="1" ht="14.1" customHeight="1">
      <c r="E214" s="366"/>
      <c r="I214" s="318"/>
      <c r="J214" s="318"/>
    </row>
    <row r="215" spans="5:10" s="365" customFormat="1" ht="14.1" customHeight="1">
      <c r="E215" s="366"/>
      <c r="I215" s="318"/>
      <c r="J215" s="318"/>
    </row>
    <row r="216" spans="5:10" s="365" customFormat="1" ht="14.1" customHeight="1">
      <c r="E216" s="366"/>
      <c r="I216" s="318"/>
      <c r="J216" s="318"/>
    </row>
    <row r="217" spans="5:10" s="365" customFormat="1" ht="14.1" customHeight="1">
      <c r="E217" s="366"/>
      <c r="I217" s="318"/>
      <c r="J217" s="318"/>
    </row>
    <row r="218" spans="5:10" s="365" customFormat="1" ht="14.1" customHeight="1">
      <c r="E218" s="366"/>
      <c r="I218" s="318"/>
      <c r="J218" s="318"/>
    </row>
    <row r="219" spans="5:10" s="365" customFormat="1" ht="14.1" customHeight="1">
      <c r="E219" s="366"/>
      <c r="I219" s="318"/>
      <c r="J219" s="318"/>
    </row>
    <row r="220" spans="5:10" s="365" customFormat="1" ht="14.1" customHeight="1">
      <c r="E220" s="366"/>
      <c r="I220" s="318"/>
      <c r="J220" s="318"/>
    </row>
    <row r="221" spans="5:10" s="365" customFormat="1" ht="14.1" customHeight="1">
      <c r="E221" s="366"/>
      <c r="I221" s="318"/>
      <c r="J221" s="318"/>
    </row>
    <row r="222" spans="5:10" s="365" customFormat="1" ht="14.1" customHeight="1">
      <c r="E222" s="366"/>
      <c r="I222" s="318"/>
      <c r="J222" s="318"/>
    </row>
    <row r="223" spans="5:10" s="365" customFormat="1" ht="14.1" customHeight="1">
      <c r="E223" s="366"/>
      <c r="I223" s="318"/>
      <c r="J223" s="318"/>
    </row>
    <row r="224" spans="5:10" s="365" customFormat="1" ht="14.1" customHeight="1">
      <c r="E224" s="366"/>
      <c r="I224" s="318"/>
      <c r="J224" s="318"/>
    </row>
    <row r="225" spans="5:10" s="365" customFormat="1" ht="14.1" customHeight="1">
      <c r="E225" s="366"/>
      <c r="I225" s="318"/>
      <c r="J225" s="318"/>
    </row>
    <row r="226" spans="5:10" s="365" customFormat="1" ht="14.1" customHeight="1">
      <c r="E226" s="366"/>
      <c r="I226" s="318"/>
      <c r="J226" s="318"/>
    </row>
    <row r="227" spans="5:10" s="365" customFormat="1" ht="14.1" customHeight="1">
      <c r="E227" s="366"/>
      <c r="I227" s="318"/>
      <c r="J227" s="318"/>
    </row>
    <row r="228" spans="5:10" s="365" customFormat="1" ht="14.1" customHeight="1">
      <c r="E228" s="366"/>
      <c r="I228" s="318"/>
      <c r="J228" s="318"/>
    </row>
    <row r="229" spans="5:10" s="365" customFormat="1" ht="14.1" customHeight="1">
      <c r="E229" s="366"/>
      <c r="I229" s="318"/>
      <c r="J229" s="318"/>
    </row>
    <row r="230" spans="5:10" s="365" customFormat="1" ht="14.1" customHeight="1">
      <c r="E230" s="366"/>
      <c r="I230" s="318"/>
      <c r="J230" s="318"/>
    </row>
    <row r="231" spans="5:10" s="365" customFormat="1" ht="14.1" customHeight="1">
      <c r="E231" s="366"/>
      <c r="I231" s="318"/>
      <c r="J231" s="318"/>
    </row>
    <row r="232" spans="5:10" s="365" customFormat="1" ht="14.1" customHeight="1">
      <c r="E232" s="366"/>
      <c r="I232" s="318"/>
      <c r="J232" s="318"/>
    </row>
    <row r="233" spans="5:10" s="365" customFormat="1" ht="14.1" customHeight="1">
      <c r="E233" s="366"/>
      <c r="I233" s="318"/>
      <c r="J233" s="318"/>
    </row>
    <row r="234" spans="5:10" s="365" customFormat="1" ht="14.1" customHeight="1">
      <c r="E234" s="366"/>
      <c r="I234" s="318"/>
      <c r="J234" s="318"/>
    </row>
    <row r="235" spans="5:10" s="365" customFormat="1" ht="14.1" customHeight="1">
      <c r="E235" s="366"/>
      <c r="I235" s="318"/>
      <c r="J235" s="318"/>
    </row>
    <row r="236" spans="5:10" s="365" customFormat="1" ht="14.1" customHeight="1">
      <c r="E236" s="366"/>
      <c r="I236" s="318"/>
      <c r="J236" s="318"/>
    </row>
    <row r="237" spans="5:10" s="365" customFormat="1" ht="14.1" customHeight="1">
      <c r="E237" s="366"/>
      <c r="I237" s="318"/>
      <c r="J237" s="318"/>
    </row>
    <row r="238" spans="5:10" s="365" customFormat="1" ht="17.100000000000001" customHeight="1">
      <c r="E238" s="366"/>
      <c r="I238" s="318"/>
      <c r="J238" s="318"/>
    </row>
    <row r="239" spans="5:10" s="365" customFormat="1" ht="14.1" customHeight="1">
      <c r="E239" s="366"/>
      <c r="I239" s="318"/>
      <c r="J239" s="318"/>
    </row>
    <row r="240" spans="5:10" s="365" customFormat="1" ht="14.1" customHeight="1">
      <c r="E240" s="366"/>
      <c r="I240" s="318"/>
      <c r="J240" s="318"/>
    </row>
    <row r="241" spans="5:10" s="365" customFormat="1" ht="14.1" customHeight="1">
      <c r="E241" s="366"/>
      <c r="I241" s="318"/>
      <c r="J241" s="318"/>
    </row>
    <row r="242" spans="5:10" s="365" customFormat="1" ht="14.1" customHeight="1">
      <c r="E242" s="366"/>
      <c r="I242" s="318"/>
      <c r="J242" s="318"/>
    </row>
    <row r="243" spans="5:10" s="365" customFormat="1" ht="14.1" customHeight="1">
      <c r="E243" s="366"/>
      <c r="I243" s="318"/>
      <c r="J243" s="318"/>
    </row>
    <row r="244" spans="5:10" s="365" customFormat="1" ht="14.1" customHeight="1">
      <c r="E244" s="366"/>
      <c r="I244" s="318"/>
      <c r="J244" s="318"/>
    </row>
    <row r="245" spans="5:10" s="365" customFormat="1" ht="14.1" customHeight="1">
      <c r="E245" s="366"/>
      <c r="I245" s="318"/>
      <c r="J245" s="318"/>
    </row>
    <row r="246" spans="5:10" s="365" customFormat="1" ht="14.1" customHeight="1">
      <c r="E246" s="366"/>
      <c r="I246" s="318"/>
      <c r="J246" s="318"/>
    </row>
    <row r="247" spans="5:10" s="365" customFormat="1" ht="14.1" customHeight="1">
      <c r="E247" s="366"/>
      <c r="I247" s="318"/>
      <c r="J247" s="318"/>
    </row>
    <row r="248" spans="5:10" s="365" customFormat="1" ht="14.1" customHeight="1">
      <c r="E248" s="366"/>
      <c r="I248" s="318"/>
      <c r="J248" s="318"/>
    </row>
    <row r="249" spans="5:10" s="365" customFormat="1" ht="14.1" customHeight="1">
      <c r="E249" s="366"/>
      <c r="I249" s="318"/>
      <c r="J249" s="318"/>
    </row>
    <row r="250" spans="5:10" s="365" customFormat="1" ht="14.1" customHeight="1">
      <c r="E250" s="366"/>
      <c r="I250" s="318"/>
      <c r="J250" s="318"/>
    </row>
    <row r="251" spans="5:10" s="365" customFormat="1" ht="14.1" customHeight="1">
      <c r="E251" s="366"/>
      <c r="I251" s="318"/>
      <c r="J251" s="318"/>
    </row>
    <row r="252" spans="5:10" s="365" customFormat="1" ht="14.1" customHeight="1">
      <c r="E252" s="366"/>
      <c r="I252" s="318"/>
      <c r="J252" s="318"/>
    </row>
    <row r="253" spans="5:10" s="365" customFormat="1" ht="14.1" customHeight="1">
      <c r="E253" s="366"/>
      <c r="I253" s="318"/>
      <c r="J253" s="318"/>
    </row>
    <row r="254" spans="5:10" s="365" customFormat="1" ht="14.1" customHeight="1">
      <c r="E254" s="366"/>
      <c r="I254" s="318"/>
      <c r="J254" s="318"/>
    </row>
    <row r="255" spans="5:10" s="365" customFormat="1" ht="14.1" customHeight="1">
      <c r="E255" s="366"/>
      <c r="I255" s="318"/>
      <c r="J255" s="318"/>
    </row>
    <row r="256" spans="5:10" s="365" customFormat="1" ht="14.1" customHeight="1">
      <c r="E256" s="366"/>
      <c r="I256" s="318"/>
      <c r="J256" s="318"/>
    </row>
    <row r="257" spans="5:10" s="365" customFormat="1" ht="14.1" customHeight="1">
      <c r="E257" s="366"/>
      <c r="I257" s="318"/>
      <c r="J257" s="318"/>
    </row>
    <row r="258" spans="5:10" s="365" customFormat="1" ht="14.1" customHeight="1">
      <c r="E258" s="366"/>
      <c r="I258" s="318"/>
      <c r="J258" s="318"/>
    </row>
    <row r="259" spans="5:10" s="365" customFormat="1" ht="14.1" customHeight="1">
      <c r="E259" s="366"/>
      <c r="I259" s="318"/>
      <c r="J259" s="318"/>
    </row>
    <row r="260" spans="5:10" s="365" customFormat="1" ht="14.1" customHeight="1">
      <c r="E260" s="366"/>
      <c r="I260" s="318"/>
      <c r="J260" s="318"/>
    </row>
    <row r="261" spans="5:10" s="365" customFormat="1" ht="14.1" customHeight="1">
      <c r="E261" s="366"/>
      <c r="I261" s="318"/>
      <c r="J261" s="318"/>
    </row>
    <row r="262" spans="5:10" s="365" customFormat="1" ht="14.1" customHeight="1">
      <c r="E262" s="366"/>
      <c r="I262" s="318"/>
      <c r="J262" s="318"/>
    </row>
    <row r="263" spans="5:10" s="365" customFormat="1" ht="14.1" customHeight="1">
      <c r="E263" s="366"/>
      <c r="I263" s="318"/>
      <c r="J263" s="318"/>
    </row>
    <row r="264" spans="5:10" s="365" customFormat="1" ht="14.1" customHeight="1">
      <c r="E264" s="366"/>
      <c r="I264" s="318"/>
      <c r="J264" s="318"/>
    </row>
    <row r="265" spans="5:10" s="365" customFormat="1" ht="14.1" customHeight="1">
      <c r="E265" s="366"/>
      <c r="I265" s="318"/>
      <c r="J265" s="318"/>
    </row>
    <row r="266" spans="5:10" s="365" customFormat="1" ht="14.1" customHeight="1">
      <c r="E266" s="366"/>
      <c r="I266" s="318"/>
      <c r="J266" s="318"/>
    </row>
    <row r="267" spans="5:10" s="365" customFormat="1" ht="14.1" customHeight="1">
      <c r="E267" s="366"/>
      <c r="I267" s="318"/>
      <c r="J267" s="318"/>
    </row>
    <row r="268" spans="5:10" s="365" customFormat="1" ht="14.1" customHeight="1">
      <c r="E268" s="366"/>
      <c r="I268" s="318"/>
      <c r="J268" s="318"/>
    </row>
    <row r="269" spans="5:10" s="365" customFormat="1" ht="14.1" customHeight="1">
      <c r="E269" s="366"/>
      <c r="I269" s="318"/>
      <c r="J269" s="318"/>
    </row>
    <row r="270" spans="5:10" s="365" customFormat="1" ht="14.1" customHeight="1">
      <c r="E270" s="366"/>
      <c r="I270" s="318"/>
      <c r="J270" s="318"/>
    </row>
    <row r="271" spans="5:10" s="365" customFormat="1" ht="14.1" customHeight="1">
      <c r="E271" s="366"/>
      <c r="I271" s="318"/>
      <c r="J271" s="318"/>
    </row>
    <row r="272" spans="5:10" s="365" customFormat="1" ht="14.1" customHeight="1">
      <c r="E272" s="366"/>
      <c r="I272" s="318"/>
      <c r="J272" s="318"/>
    </row>
    <row r="273" spans="5:10" s="365" customFormat="1" ht="14.1" customHeight="1">
      <c r="E273" s="366"/>
      <c r="I273" s="318"/>
      <c r="J273" s="318"/>
    </row>
    <row r="274" spans="5:10" s="365" customFormat="1" ht="14.1" customHeight="1">
      <c r="E274" s="366"/>
      <c r="I274" s="318"/>
      <c r="J274" s="318"/>
    </row>
    <row r="275" spans="5:10" s="365" customFormat="1" ht="14.1" customHeight="1">
      <c r="E275" s="366"/>
      <c r="I275" s="318"/>
      <c r="J275" s="318"/>
    </row>
    <row r="276" spans="5:10" s="365" customFormat="1" ht="14.1" customHeight="1">
      <c r="E276" s="366"/>
      <c r="I276" s="318"/>
      <c r="J276" s="318"/>
    </row>
    <row r="277" spans="5:10" s="365" customFormat="1" ht="14.1" customHeight="1">
      <c r="E277" s="366"/>
      <c r="I277" s="318"/>
      <c r="J277" s="318"/>
    </row>
    <row r="278" spans="5:10" s="365" customFormat="1" ht="14.1" customHeight="1">
      <c r="E278" s="366"/>
      <c r="I278" s="318"/>
      <c r="J278" s="318"/>
    </row>
    <row r="279" spans="5:10" s="365" customFormat="1" ht="14.1" customHeight="1">
      <c r="E279" s="366"/>
      <c r="I279" s="318"/>
      <c r="J279" s="318"/>
    </row>
    <row r="280" spans="5:10" s="365" customFormat="1" ht="14.1" customHeight="1">
      <c r="E280" s="366"/>
      <c r="I280" s="318"/>
      <c r="J280" s="318"/>
    </row>
    <row r="281" spans="5:10" s="365" customFormat="1" ht="14.1" customHeight="1">
      <c r="E281" s="366"/>
      <c r="I281" s="318"/>
      <c r="J281" s="318"/>
    </row>
    <row r="282" spans="5:10" s="365" customFormat="1" ht="14.1" customHeight="1">
      <c r="E282" s="366"/>
      <c r="I282" s="318"/>
      <c r="J282" s="318"/>
    </row>
    <row r="283" spans="5:10" s="365" customFormat="1" ht="14.1" customHeight="1">
      <c r="E283" s="366"/>
      <c r="I283" s="318"/>
      <c r="J283" s="318"/>
    </row>
    <row r="284" spans="5:10" s="365" customFormat="1" ht="14.1" customHeight="1">
      <c r="E284" s="366"/>
      <c r="I284" s="318"/>
      <c r="J284" s="318"/>
    </row>
    <row r="285" spans="5:10" s="365" customFormat="1" ht="14.1" hidden="1" customHeight="1">
      <c r="E285" s="366"/>
      <c r="I285" s="318"/>
      <c r="J285" s="318"/>
    </row>
    <row r="286" spans="5:10" s="365" customFormat="1" ht="14.1" hidden="1" customHeight="1">
      <c r="E286" s="366"/>
      <c r="I286" s="318"/>
      <c r="J286" s="318"/>
    </row>
    <row r="287" spans="5:10" s="365" customFormat="1" ht="14.1" hidden="1" customHeight="1">
      <c r="E287" s="366"/>
      <c r="I287" s="318"/>
      <c r="J287" s="318"/>
    </row>
    <row r="288" spans="5:10" s="365" customFormat="1" ht="14.1" hidden="1" customHeight="1">
      <c r="E288" s="366"/>
      <c r="I288" s="318"/>
      <c r="J288" s="318"/>
    </row>
    <row r="289" spans="5:10" s="365" customFormat="1" ht="14.1" hidden="1" customHeight="1">
      <c r="E289" s="366"/>
      <c r="I289" s="318"/>
      <c r="J289" s="318"/>
    </row>
    <row r="290" spans="5:10" s="365" customFormat="1" ht="14.1" hidden="1" customHeight="1">
      <c r="E290" s="366"/>
      <c r="I290" s="318"/>
      <c r="J290" s="318"/>
    </row>
    <row r="291" spans="5:10" s="365" customFormat="1" ht="14.1" hidden="1" customHeight="1">
      <c r="E291" s="366"/>
      <c r="I291" s="318"/>
      <c r="J291" s="318"/>
    </row>
    <row r="292" spans="5:10" s="365" customFormat="1" ht="14.1" hidden="1" customHeight="1">
      <c r="E292" s="366"/>
      <c r="I292" s="318"/>
      <c r="J292" s="318"/>
    </row>
    <row r="293" spans="5:10" s="365" customFormat="1" ht="14.1" hidden="1" customHeight="1">
      <c r="E293" s="366"/>
      <c r="I293" s="318"/>
      <c r="J293" s="318"/>
    </row>
    <row r="294" spans="5:10" s="365" customFormat="1" ht="14.1" hidden="1" customHeight="1">
      <c r="E294" s="366"/>
      <c r="I294" s="318"/>
      <c r="J294" s="318"/>
    </row>
    <row r="295" spans="5:10" s="365" customFormat="1" ht="14.1" hidden="1" customHeight="1">
      <c r="E295" s="366"/>
      <c r="I295" s="318"/>
      <c r="J295" s="318"/>
    </row>
    <row r="296" spans="5:10" s="365" customFormat="1" ht="14.1" hidden="1" customHeight="1">
      <c r="E296" s="366"/>
      <c r="I296" s="318"/>
      <c r="J296" s="318"/>
    </row>
    <row r="297" spans="5:10" s="365" customFormat="1" ht="14.1" hidden="1" customHeight="1">
      <c r="E297" s="366"/>
      <c r="I297" s="318"/>
      <c r="J297" s="318"/>
    </row>
    <row r="298" spans="5:10" s="365" customFormat="1" ht="14.1" hidden="1" customHeight="1">
      <c r="E298" s="366"/>
      <c r="I298" s="318"/>
      <c r="J298" s="318"/>
    </row>
    <row r="299" spans="5:10" s="365" customFormat="1" ht="14.1" hidden="1" customHeight="1">
      <c r="E299" s="366"/>
      <c r="I299" s="318"/>
      <c r="J299" s="318"/>
    </row>
    <row r="300" spans="5:10" s="365" customFormat="1" ht="14.1" hidden="1" customHeight="1">
      <c r="E300" s="366"/>
      <c r="I300" s="318"/>
      <c r="J300" s="318"/>
    </row>
    <row r="301" spans="5:10" s="365" customFormat="1" ht="14.1" hidden="1" customHeight="1">
      <c r="E301" s="366"/>
      <c r="I301" s="318"/>
      <c r="J301" s="318"/>
    </row>
    <row r="302" spans="5:10" s="365" customFormat="1" ht="14.1" hidden="1" customHeight="1">
      <c r="E302" s="366"/>
      <c r="I302" s="318"/>
      <c r="J302" s="318"/>
    </row>
    <row r="303" spans="5:10" s="365" customFormat="1" ht="14.1" hidden="1" customHeight="1">
      <c r="E303" s="366"/>
      <c r="I303" s="318"/>
      <c r="J303" s="318"/>
    </row>
    <row r="304" spans="5:10" s="365" customFormat="1" ht="14.1" hidden="1" customHeight="1">
      <c r="E304" s="366"/>
      <c r="I304" s="318"/>
      <c r="J304" s="318"/>
    </row>
    <row r="305" spans="5:10" s="365" customFormat="1" ht="14.1" hidden="1" customHeight="1">
      <c r="E305" s="366"/>
      <c r="I305" s="318"/>
      <c r="J305" s="318"/>
    </row>
    <row r="306" spans="5:10" s="365" customFormat="1" ht="14.1" hidden="1" customHeight="1">
      <c r="E306" s="366"/>
      <c r="I306" s="318"/>
      <c r="J306" s="318"/>
    </row>
    <row r="307" spans="5:10" s="365" customFormat="1" ht="14.1" hidden="1" customHeight="1">
      <c r="E307" s="366"/>
      <c r="I307" s="318"/>
      <c r="J307" s="318"/>
    </row>
    <row r="308" spans="5:10" s="365" customFormat="1" ht="14.1" hidden="1" customHeight="1">
      <c r="E308" s="366"/>
      <c r="I308" s="318"/>
      <c r="J308" s="318"/>
    </row>
    <row r="309" spans="5:10" s="365" customFormat="1" ht="14.1" hidden="1" customHeight="1">
      <c r="E309" s="366"/>
      <c r="I309" s="318"/>
      <c r="J309" s="318"/>
    </row>
    <row r="310" spans="5:10" s="365" customFormat="1" ht="14.1" hidden="1" customHeight="1">
      <c r="E310" s="366"/>
      <c r="I310" s="318"/>
      <c r="J310" s="318"/>
    </row>
    <row r="311" spans="5:10" s="365" customFormat="1" ht="14.1" hidden="1" customHeight="1">
      <c r="E311" s="366"/>
      <c r="I311" s="318"/>
      <c r="J311" s="318"/>
    </row>
    <row r="312" spans="5:10" s="365" customFormat="1" ht="14.1" customHeight="1">
      <c r="E312" s="366"/>
      <c r="I312" s="318"/>
      <c r="J312" s="318"/>
    </row>
    <row r="313" spans="5:10" s="365" customFormat="1" ht="14.1" customHeight="1">
      <c r="E313" s="366"/>
      <c r="I313" s="318"/>
      <c r="J313" s="318"/>
    </row>
    <row r="314" spans="5:10" s="365" customFormat="1" ht="14.1" customHeight="1">
      <c r="E314" s="366"/>
      <c r="I314" s="318"/>
      <c r="J314" s="318"/>
    </row>
    <row r="315" spans="5:10" s="365" customFormat="1" ht="14.1" customHeight="1">
      <c r="E315" s="366"/>
      <c r="I315" s="318"/>
      <c r="J315" s="318"/>
    </row>
    <row r="316" spans="5:10" s="365" customFormat="1" ht="14.1" customHeight="1">
      <c r="E316" s="366"/>
      <c r="I316" s="318"/>
      <c r="J316" s="318"/>
    </row>
    <row r="317" spans="5:10" s="365" customFormat="1" ht="14.1" customHeight="1">
      <c r="E317" s="366"/>
      <c r="I317" s="318"/>
      <c r="J317" s="318"/>
    </row>
    <row r="318" spans="5:10" s="365" customFormat="1" ht="14.1" customHeight="1">
      <c r="E318" s="366"/>
      <c r="I318" s="318"/>
      <c r="J318" s="318"/>
    </row>
    <row r="319" spans="5:10" s="365" customFormat="1" ht="14.1" customHeight="1">
      <c r="E319" s="366"/>
      <c r="I319" s="318"/>
      <c r="J319" s="318"/>
    </row>
    <row r="320" spans="5:10" s="365" customFormat="1" ht="14.1" customHeight="1">
      <c r="E320" s="366"/>
      <c r="I320" s="318"/>
      <c r="J320" s="318"/>
    </row>
    <row r="321" spans="2:18" s="365" customFormat="1" ht="14.1" customHeight="1">
      <c r="E321" s="366"/>
      <c r="I321" s="318"/>
      <c r="J321" s="318"/>
    </row>
    <row r="322" spans="2:18" s="365" customFormat="1" ht="14.1" customHeight="1">
      <c r="E322" s="366"/>
      <c r="I322" s="318"/>
      <c r="J322" s="318"/>
    </row>
    <row r="323" spans="2:18" s="365" customFormat="1" ht="14.1" customHeight="1">
      <c r="E323" s="366"/>
      <c r="I323" s="318"/>
      <c r="J323" s="318"/>
    </row>
    <row r="324" spans="2:18" ht="14.1" customHeight="1"/>
    <row r="325" spans="2:18" ht="14.1" customHeight="1"/>
    <row r="326" spans="2:18" ht="14.1" customHeight="1"/>
    <row r="327" spans="2:18" ht="14.1" customHeight="1"/>
    <row r="328" spans="2:18" ht="14.1" customHeight="1"/>
    <row r="329" spans="2:18" s="382" customFormat="1" ht="14.1" customHeight="1">
      <c r="B329" s="381"/>
      <c r="C329" s="381"/>
      <c r="D329" s="381"/>
      <c r="E329" s="275"/>
      <c r="F329" s="304"/>
      <c r="G329" s="354"/>
      <c r="H329" s="304"/>
      <c r="I329" s="304"/>
      <c r="J329" s="304"/>
      <c r="K329" s="265"/>
      <c r="L329" s="265"/>
      <c r="M329" s="265"/>
      <c r="N329" s="265"/>
      <c r="O329" s="265"/>
      <c r="P329" s="265"/>
      <c r="Q329" s="265"/>
      <c r="R329" s="265"/>
    </row>
    <row r="330" spans="2:18" s="382" customFormat="1" ht="14.1" customHeight="1">
      <c r="B330" s="381"/>
      <c r="C330" s="381"/>
      <c r="D330" s="381"/>
      <c r="E330" s="275"/>
      <c r="F330" s="304"/>
      <c r="G330" s="354"/>
      <c r="H330" s="304"/>
      <c r="I330" s="304"/>
      <c r="J330" s="304"/>
      <c r="K330" s="265"/>
      <c r="L330" s="265"/>
      <c r="M330" s="265"/>
      <c r="N330" s="265"/>
      <c r="O330" s="265"/>
      <c r="P330" s="265"/>
      <c r="Q330" s="265"/>
      <c r="R330" s="265"/>
    </row>
    <row r="331" spans="2:18" s="382" customFormat="1" ht="14.1" customHeight="1">
      <c r="B331" s="381"/>
      <c r="C331" s="381"/>
      <c r="D331" s="381"/>
      <c r="E331" s="275"/>
      <c r="F331" s="304"/>
      <c r="G331" s="354"/>
      <c r="H331" s="304"/>
      <c r="I331" s="304"/>
      <c r="J331" s="304"/>
      <c r="K331" s="265"/>
      <c r="L331" s="265"/>
      <c r="M331" s="265"/>
      <c r="N331" s="265"/>
      <c r="O331" s="265"/>
      <c r="P331" s="265"/>
      <c r="Q331" s="265"/>
      <c r="R331" s="265"/>
    </row>
    <row r="332" spans="2:18" s="382" customFormat="1" ht="14.1" customHeight="1">
      <c r="B332" s="381"/>
      <c r="C332" s="381"/>
      <c r="D332" s="381"/>
      <c r="E332" s="275"/>
      <c r="F332" s="304"/>
      <c r="G332" s="354"/>
      <c r="H332" s="304"/>
      <c r="I332" s="304"/>
      <c r="J332" s="304"/>
      <c r="K332" s="265"/>
      <c r="L332" s="265"/>
      <c r="M332" s="265"/>
      <c r="N332" s="265"/>
      <c r="O332" s="265"/>
      <c r="P332" s="265"/>
      <c r="Q332" s="265"/>
      <c r="R332" s="265"/>
    </row>
    <row r="333" spans="2:18" s="382" customFormat="1" ht="14.1" customHeight="1">
      <c r="B333" s="381"/>
      <c r="C333" s="381"/>
      <c r="D333" s="381"/>
      <c r="E333" s="275"/>
      <c r="F333" s="304"/>
      <c r="G333" s="354"/>
      <c r="H333" s="304"/>
      <c r="I333" s="304"/>
      <c r="J333" s="304"/>
      <c r="K333" s="265"/>
      <c r="L333" s="265"/>
      <c r="M333" s="265"/>
      <c r="N333" s="265"/>
      <c r="O333" s="265"/>
      <c r="P333" s="265"/>
      <c r="Q333" s="265"/>
      <c r="R333" s="265"/>
    </row>
    <row r="334" spans="2:18" s="382" customFormat="1" ht="14.1" customHeight="1">
      <c r="B334" s="381"/>
      <c r="C334" s="381"/>
      <c r="D334" s="381"/>
      <c r="E334" s="275"/>
      <c r="F334" s="304"/>
      <c r="G334" s="354"/>
      <c r="H334" s="304"/>
      <c r="I334" s="304"/>
      <c r="J334" s="304"/>
      <c r="K334" s="265"/>
      <c r="L334" s="265"/>
      <c r="M334" s="265"/>
      <c r="N334" s="265"/>
      <c r="O334" s="265"/>
      <c r="P334" s="265"/>
      <c r="Q334" s="265"/>
      <c r="R334" s="265"/>
    </row>
    <row r="335" spans="2:18" s="382" customFormat="1" ht="14.1" customHeight="1">
      <c r="B335" s="381"/>
      <c r="C335" s="381"/>
      <c r="D335" s="381"/>
      <c r="E335" s="275"/>
      <c r="F335" s="304"/>
      <c r="G335" s="354"/>
      <c r="H335" s="304"/>
      <c r="I335" s="304"/>
      <c r="J335" s="304"/>
      <c r="K335" s="265"/>
      <c r="L335" s="265"/>
      <c r="M335" s="265"/>
      <c r="N335" s="265"/>
      <c r="O335" s="265"/>
      <c r="P335" s="265"/>
      <c r="Q335" s="265"/>
      <c r="R335" s="265"/>
    </row>
    <row r="336" spans="2:18" s="382" customFormat="1" ht="14.1" customHeight="1">
      <c r="B336" s="381"/>
      <c r="C336" s="381"/>
      <c r="D336" s="381"/>
      <c r="E336" s="275"/>
      <c r="F336" s="304"/>
      <c r="G336" s="354"/>
      <c r="H336" s="304"/>
      <c r="I336" s="304"/>
      <c r="J336" s="304"/>
      <c r="K336" s="265"/>
      <c r="L336" s="265"/>
      <c r="M336" s="265"/>
      <c r="N336" s="265"/>
      <c r="O336" s="265"/>
      <c r="P336" s="265"/>
      <c r="Q336" s="265"/>
      <c r="R336" s="265"/>
    </row>
    <row r="337" spans="2:18" s="382" customFormat="1" ht="14.1" customHeight="1">
      <c r="B337" s="381"/>
      <c r="C337" s="381"/>
      <c r="D337" s="381"/>
      <c r="E337" s="275"/>
      <c r="F337" s="304"/>
      <c r="G337" s="354"/>
      <c r="H337" s="304"/>
      <c r="I337" s="304"/>
      <c r="J337" s="304"/>
      <c r="K337" s="265"/>
      <c r="L337" s="265"/>
      <c r="M337" s="265"/>
      <c r="N337" s="265"/>
      <c r="O337" s="265"/>
      <c r="P337" s="265"/>
      <c r="Q337" s="265"/>
      <c r="R337" s="265"/>
    </row>
    <row r="338" spans="2:18" s="382" customFormat="1" ht="14.1" customHeight="1">
      <c r="B338" s="381"/>
      <c r="C338" s="381"/>
      <c r="D338" s="381"/>
      <c r="E338" s="275"/>
      <c r="F338" s="304"/>
      <c r="G338" s="354"/>
      <c r="H338" s="304"/>
      <c r="I338" s="304"/>
      <c r="J338" s="304"/>
      <c r="K338" s="265"/>
      <c r="L338" s="265"/>
      <c r="M338" s="265"/>
      <c r="N338" s="265"/>
      <c r="O338" s="265"/>
      <c r="P338" s="265"/>
      <c r="Q338" s="265"/>
      <c r="R338" s="265"/>
    </row>
    <row r="339" spans="2:18" s="382" customFormat="1" ht="14.1" customHeight="1">
      <c r="B339" s="381"/>
      <c r="C339" s="381"/>
      <c r="D339" s="381"/>
      <c r="E339" s="275"/>
      <c r="F339" s="304"/>
      <c r="G339" s="354"/>
      <c r="H339" s="304"/>
      <c r="I339" s="304"/>
      <c r="J339" s="304"/>
      <c r="K339" s="265"/>
      <c r="L339" s="265"/>
      <c r="M339" s="265"/>
      <c r="N339" s="265"/>
      <c r="O339" s="265"/>
      <c r="P339" s="265"/>
      <c r="Q339" s="265"/>
      <c r="R339" s="265"/>
    </row>
    <row r="340" spans="2:18" s="382" customFormat="1" ht="14.1" customHeight="1">
      <c r="B340" s="381"/>
      <c r="C340" s="381"/>
      <c r="D340" s="381"/>
      <c r="E340" s="275"/>
      <c r="F340" s="304"/>
      <c r="G340" s="354"/>
      <c r="H340" s="304"/>
      <c r="I340" s="304"/>
      <c r="J340" s="304"/>
      <c r="K340" s="265"/>
      <c r="L340" s="265"/>
      <c r="M340" s="265"/>
      <c r="N340" s="265"/>
      <c r="O340" s="265"/>
      <c r="P340" s="265"/>
      <c r="Q340" s="265"/>
      <c r="R340" s="265"/>
    </row>
    <row r="341" spans="2:18" s="382" customFormat="1" ht="14.1" customHeight="1">
      <c r="B341" s="381"/>
      <c r="C341" s="381"/>
      <c r="D341" s="381"/>
      <c r="E341" s="275"/>
      <c r="F341" s="304"/>
      <c r="G341" s="354"/>
      <c r="H341" s="304"/>
      <c r="I341" s="304"/>
      <c r="J341" s="304"/>
      <c r="K341" s="265"/>
      <c r="L341" s="265"/>
      <c r="M341" s="265"/>
      <c r="N341" s="265"/>
      <c r="O341" s="265"/>
      <c r="P341" s="265"/>
      <c r="Q341" s="265"/>
      <c r="R341" s="265"/>
    </row>
    <row r="342" spans="2:18" s="382" customFormat="1" ht="14.1" customHeight="1">
      <c r="B342" s="381"/>
      <c r="C342" s="381"/>
      <c r="D342" s="381"/>
      <c r="E342" s="275"/>
      <c r="F342" s="304"/>
      <c r="G342" s="354"/>
      <c r="H342" s="304"/>
      <c r="I342" s="304"/>
      <c r="J342" s="304"/>
      <c r="K342" s="265"/>
      <c r="L342" s="265"/>
      <c r="M342" s="265"/>
      <c r="N342" s="265"/>
      <c r="O342" s="265"/>
      <c r="P342" s="265"/>
      <c r="Q342" s="265"/>
      <c r="R342" s="265"/>
    </row>
    <row r="343" spans="2:18" s="382" customFormat="1" ht="14.1" customHeight="1">
      <c r="B343" s="381"/>
      <c r="C343" s="381"/>
      <c r="D343" s="381"/>
      <c r="E343" s="275"/>
      <c r="F343" s="304"/>
      <c r="G343" s="354"/>
      <c r="H343" s="304"/>
      <c r="I343" s="304"/>
      <c r="J343" s="304"/>
      <c r="K343" s="265"/>
      <c r="L343" s="265"/>
      <c r="M343" s="265"/>
      <c r="N343" s="265"/>
      <c r="O343" s="265"/>
      <c r="P343" s="265"/>
      <c r="Q343" s="265"/>
      <c r="R343" s="265"/>
    </row>
    <row r="344" spans="2:18" s="382" customFormat="1" ht="14.1" customHeight="1">
      <c r="B344" s="381"/>
      <c r="C344" s="381"/>
      <c r="D344" s="381"/>
      <c r="E344" s="275"/>
      <c r="F344" s="304"/>
      <c r="G344" s="354"/>
      <c r="H344" s="304"/>
      <c r="I344" s="304"/>
      <c r="J344" s="304"/>
      <c r="K344" s="265"/>
      <c r="L344" s="265"/>
      <c r="M344" s="265"/>
      <c r="N344" s="265"/>
      <c r="O344" s="265"/>
      <c r="P344" s="265"/>
      <c r="Q344" s="265"/>
      <c r="R344" s="265"/>
    </row>
    <row r="345" spans="2:18" s="382" customFormat="1" ht="14.1" customHeight="1">
      <c r="B345" s="381"/>
      <c r="C345" s="381"/>
      <c r="D345" s="381"/>
      <c r="E345" s="275"/>
      <c r="F345" s="304"/>
      <c r="G345" s="354"/>
      <c r="H345" s="304"/>
      <c r="I345" s="304"/>
      <c r="J345" s="304"/>
      <c r="K345" s="265"/>
      <c r="L345" s="265"/>
      <c r="M345" s="265"/>
      <c r="N345" s="265"/>
      <c r="O345" s="265"/>
      <c r="P345" s="265"/>
      <c r="Q345" s="265"/>
      <c r="R345" s="265"/>
    </row>
    <row r="346" spans="2:18" s="382" customFormat="1" ht="14.1" customHeight="1">
      <c r="B346" s="381"/>
      <c r="C346" s="381"/>
      <c r="D346" s="381"/>
      <c r="E346" s="275"/>
      <c r="F346" s="304"/>
      <c r="G346" s="354"/>
      <c r="H346" s="304"/>
      <c r="I346" s="304"/>
      <c r="J346" s="304"/>
      <c r="K346" s="265"/>
      <c r="L346" s="265"/>
      <c r="M346" s="265"/>
      <c r="N346" s="265"/>
      <c r="O346" s="265"/>
      <c r="P346" s="265"/>
      <c r="Q346" s="265"/>
      <c r="R346" s="265"/>
    </row>
    <row r="347" spans="2:18" s="382" customFormat="1" ht="14.1" customHeight="1">
      <c r="B347" s="381"/>
      <c r="C347" s="381"/>
      <c r="D347" s="381"/>
      <c r="E347" s="275"/>
      <c r="F347" s="304"/>
      <c r="G347" s="354"/>
      <c r="H347" s="304"/>
      <c r="I347" s="304"/>
      <c r="J347" s="304"/>
      <c r="K347" s="265"/>
      <c r="L347" s="265"/>
      <c r="M347" s="265"/>
      <c r="N347" s="265"/>
      <c r="O347" s="265"/>
      <c r="P347" s="265"/>
      <c r="Q347" s="265"/>
      <c r="R347" s="265"/>
    </row>
    <row r="348" spans="2:18" s="382" customFormat="1" ht="14.1" customHeight="1">
      <c r="B348" s="381"/>
      <c r="C348" s="381"/>
      <c r="D348" s="381"/>
      <c r="E348" s="275"/>
      <c r="F348" s="304"/>
      <c r="G348" s="354"/>
      <c r="H348" s="304"/>
      <c r="I348" s="304"/>
      <c r="J348" s="304"/>
      <c r="K348" s="265"/>
      <c r="L348" s="265"/>
      <c r="M348" s="265"/>
      <c r="N348" s="265"/>
      <c r="O348" s="265"/>
      <c r="P348" s="265"/>
      <c r="Q348" s="265"/>
      <c r="R348" s="265"/>
    </row>
    <row r="349" spans="2:18" s="382" customFormat="1" ht="14.1" customHeight="1">
      <c r="B349" s="381"/>
      <c r="C349" s="381"/>
      <c r="D349" s="381"/>
      <c r="E349" s="275"/>
      <c r="F349" s="304"/>
      <c r="G349" s="354"/>
      <c r="H349" s="304"/>
      <c r="I349" s="304"/>
      <c r="J349" s="304"/>
      <c r="K349" s="265"/>
      <c r="L349" s="265"/>
      <c r="M349" s="265"/>
      <c r="N349" s="265"/>
      <c r="O349" s="265"/>
      <c r="P349" s="265"/>
      <c r="Q349" s="265"/>
      <c r="R349" s="265"/>
    </row>
    <row r="350" spans="2:18" s="382" customFormat="1" ht="14.1" customHeight="1">
      <c r="B350" s="381"/>
      <c r="C350" s="381"/>
      <c r="D350" s="381"/>
      <c r="E350" s="275"/>
      <c r="F350" s="304"/>
      <c r="G350" s="354"/>
      <c r="H350" s="304"/>
      <c r="I350" s="304"/>
      <c r="J350" s="304"/>
      <c r="K350" s="265"/>
      <c r="L350" s="265"/>
      <c r="M350" s="265"/>
      <c r="N350" s="265"/>
      <c r="O350" s="265"/>
      <c r="P350" s="265"/>
      <c r="Q350" s="265"/>
      <c r="R350" s="265"/>
    </row>
    <row r="351" spans="2:18" s="382" customFormat="1" ht="14.1" customHeight="1">
      <c r="B351" s="381"/>
      <c r="C351" s="381"/>
      <c r="D351" s="381"/>
      <c r="E351" s="275"/>
      <c r="F351" s="304"/>
      <c r="G351" s="354"/>
      <c r="H351" s="304"/>
      <c r="I351" s="304"/>
      <c r="J351" s="304"/>
      <c r="K351" s="265"/>
      <c r="L351" s="265"/>
      <c r="M351" s="265"/>
      <c r="N351" s="265"/>
      <c r="O351" s="265"/>
      <c r="P351" s="265"/>
      <c r="Q351" s="265"/>
      <c r="R351" s="265"/>
    </row>
    <row r="352" spans="2:18" s="382" customFormat="1" ht="14.1" customHeight="1">
      <c r="B352" s="381"/>
      <c r="C352" s="381"/>
      <c r="D352" s="381"/>
      <c r="E352" s="275"/>
      <c r="F352" s="304"/>
      <c r="G352" s="354"/>
      <c r="H352" s="304"/>
      <c r="I352" s="304"/>
      <c r="J352" s="304"/>
      <c r="K352" s="265"/>
      <c r="L352" s="265"/>
      <c r="M352" s="265"/>
      <c r="N352" s="265"/>
      <c r="O352" s="265"/>
      <c r="P352" s="265"/>
      <c r="Q352" s="265"/>
      <c r="R352" s="265"/>
    </row>
    <row r="353" spans="2:18" s="382" customFormat="1" ht="14.1" customHeight="1">
      <c r="B353" s="381"/>
      <c r="C353" s="381"/>
      <c r="D353" s="381"/>
      <c r="E353" s="275"/>
      <c r="F353" s="304"/>
      <c r="G353" s="354"/>
      <c r="H353" s="304"/>
      <c r="I353" s="304"/>
      <c r="J353" s="304"/>
      <c r="K353" s="265"/>
      <c r="L353" s="265"/>
      <c r="M353" s="265"/>
      <c r="N353" s="265"/>
      <c r="O353" s="265"/>
      <c r="P353" s="265"/>
      <c r="Q353" s="265"/>
      <c r="R353" s="265"/>
    </row>
    <row r="354" spans="2:18" s="382" customFormat="1" ht="14.1" customHeight="1">
      <c r="B354" s="381"/>
      <c r="C354" s="381"/>
      <c r="D354" s="381"/>
      <c r="E354" s="275"/>
      <c r="F354" s="304"/>
      <c r="G354" s="354"/>
      <c r="H354" s="304"/>
      <c r="I354" s="304"/>
      <c r="J354" s="304"/>
      <c r="K354" s="265"/>
      <c r="L354" s="265"/>
      <c r="M354" s="265"/>
      <c r="N354" s="265"/>
      <c r="O354" s="265"/>
      <c r="P354" s="265"/>
      <c r="Q354" s="265"/>
      <c r="R354" s="265"/>
    </row>
    <row r="355" spans="2:18" s="382" customFormat="1" ht="14.1" customHeight="1">
      <c r="B355" s="381"/>
      <c r="C355" s="381"/>
      <c r="D355" s="381"/>
      <c r="E355" s="275"/>
      <c r="F355" s="304"/>
      <c r="G355" s="354"/>
      <c r="H355" s="304"/>
      <c r="I355" s="304"/>
      <c r="J355" s="304"/>
      <c r="K355" s="265"/>
      <c r="L355" s="265"/>
      <c r="M355" s="265"/>
      <c r="N355" s="265"/>
      <c r="O355" s="265"/>
      <c r="P355" s="265"/>
      <c r="Q355" s="265"/>
      <c r="R355" s="265"/>
    </row>
    <row r="356" spans="2:18" s="382" customFormat="1" ht="14.1" customHeight="1">
      <c r="B356" s="381"/>
      <c r="C356" s="381"/>
      <c r="D356" s="381"/>
      <c r="E356" s="275"/>
      <c r="F356" s="304"/>
      <c r="G356" s="354"/>
      <c r="H356" s="304"/>
      <c r="I356" s="304"/>
      <c r="J356" s="304"/>
      <c r="K356" s="265"/>
      <c r="L356" s="265"/>
      <c r="M356" s="265"/>
      <c r="N356" s="265"/>
      <c r="O356" s="265"/>
      <c r="P356" s="265"/>
      <c r="Q356" s="265"/>
      <c r="R356" s="265"/>
    </row>
    <row r="357" spans="2:18" s="382" customFormat="1" ht="14.1" customHeight="1">
      <c r="B357" s="381"/>
      <c r="C357" s="381"/>
      <c r="D357" s="381"/>
      <c r="E357" s="275"/>
      <c r="F357" s="304"/>
      <c r="G357" s="354"/>
      <c r="H357" s="304"/>
      <c r="I357" s="304"/>
      <c r="J357" s="304"/>
      <c r="K357" s="265"/>
      <c r="L357" s="265"/>
      <c r="M357" s="265"/>
      <c r="N357" s="265"/>
      <c r="O357" s="265"/>
      <c r="P357" s="265"/>
      <c r="Q357" s="265"/>
      <c r="R357" s="265"/>
    </row>
    <row r="358" spans="2:18" s="382" customFormat="1" ht="14.1" customHeight="1">
      <c r="B358" s="381"/>
      <c r="C358" s="381"/>
      <c r="D358" s="381"/>
      <c r="E358" s="275"/>
      <c r="F358" s="304"/>
      <c r="G358" s="354"/>
      <c r="H358" s="304"/>
      <c r="I358" s="304"/>
      <c r="J358" s="304"/>
      <c r="K358" s="265"/>
      <c r="L358" s="265"/>
      <c r="M358" s="265"/>
      <c r="N358" s="265"/>
      <c r="O358" s="265"/>
      <c r="P358" s="265"/>
      <c r="Q358" s="265"/>
      <c r="R358" s="265"/>
    </row>
    <row r="359" spans="2:18" s="382" customFormat="1" ht="14.1" customHeight="1">
      <c r="B359" s="381"/>
      <c r="C359" s="381"/>
      <c r="D359" s="381"/>
      <c r="E359" s="275"/>
      <c r="F359" s="304"/>
      <c r="G359" s="354"/>
      <c r="H359" s="304"/>
      <c r="I359" s="304"/>
      <c r="J359" s="304"/>
      <c r="K359" s="265"/>
      <c r="L359" s="265"/>
      <c r="M359" s="265"/>
      <c r="N359" s="265"/>
      <c r="O359" s="265"/>
      <c r="P359" s="265"/>
      <c r="Q359" s="265"/>
      <c r="R359" s="265"/>
    </row>
  </sheetData>
  <mergeCells count="2">
    <mergeCell ref="A1:H1"/>
    <mergeCell ref="A3:C3"/>
  </mergeCells>
  <conditionalFormatting sqref="H151:J151">
    <cfRule type="cellIs" dxfId="0" priority="1" stopIfTrue="1" operator="lessThan">
      <formula>$H$150&lt;0</formula>
    </cfRule>
  </conditionalFormatting>
  <dataValidations count="1">
    <dataValidation type="list" allowBlank="1" showInputMessage="1" showErrorMessage="1" promptTitle="Select from List" sqref="E108 E94:E100 E104 E88:E92 E82:E86 E76:E80 E73:E74 E67:E71 E59:E65 E53:E57 E37:E48 E23:E33 E19:E21 E9:E15">
      <formula1>$N$2:$N$3</formula1>
    </dataValidation>
  </dataValidations>
  <printOptions horizontalCentered="1" verticalCentered="1"/>
  <pageMargins left="0.25" right="0.25" top="0.46666666666666701" bottom="0.25" header="0" footer="0"/>
  <pageSetup paperSize="5" scale="48" orientation="portrait" r:id="rId1"/>
  <headerFooter alignWithMargins="0">
    <oddHeader xml:space="preserve">&amp;C&amp;"Arial,Bold"&amp;14
</oddHeader>
    <oddFooter>&amp;L&amp;12&amp;D  &amp;F&amp;R&amp;12&amp;P</oddFooter>
  </headerFooter>
  <rowBreaks count="89" manualBreakCount="89">
    <brk id="24" min="17920" max="28265" man="1"/>
    <brk id="28" min="8193" max="8225" man="1"/>
    <brk id="111" max="16383" man="1"/>
    <brk id="112" max="16383" man="1"/>
    <brk id="156" max="16383" man="1"/>
    <brk id="171" max="16383" man="1"/>
    <brk id="174" min="69" max="70" man="1"/>
    <brk id="177" min="72" max="73" man="1"/>
    <brk id="180" min="75" max="76" man="1"/>
    <brk id="183" min="78" max="79" man="1"/>
    <brk id="186" min="81" max="82" man="1"/>
    <brk id="189" min="84" max="85" man="1"/>
    <brk id="192" min="87" max="88" man="1"/>
    <brk id="195" min="90" max="91" man="1"/>
    <brk id="198" min="93" max="94" man="1"/>
    <brk id="201" min="96" max="97" man="1"/>
    <brk id="204" min="99" max="100" man="1"/>
    <brk id="207" min="102" max="104" man="1"/>
    <brk id="211" min="106" max="107" man="1"/>
    <brk id="214" min="109" max="110" man="1"/>
    <brk id="217" min="112" max="113" man="1"/>
    <brk id="220" min="115" max="116" man="1"/>
    <brk id="223" min="118" max="119" man="1"/>
    <brk id="226" min="121" max="122" man="1"/>
    <brk id="229" min="124" max="125" man="1"/>
    <brk id="232" min="127" max="128" man="1"/>
    <brk id="235" min="131" max="132" man="1"/>
    <brk id="239" min="134" max="135" man="1"/>
    <brk id="242" min="137" max="138" man="1"/>
    <brk id="245" min="140" max="141" man="1"/>
    <brk id="248" min="143" max="144" man="1"/>
    <brk id="251" min="146" max="147" man="1"/>
    <brk id="254" min="149" max="150" man="1"/>
    <brk id="257" min="152" max="153" man="1"/>
    <brk id="260" min="155" max="156" man="1"/>
    <brk id="263" min="158" max="159" man="1"/>
    <brk id="266" min="161" max="162" man="1"/>
    <brk id="269" min="164" max="165" man="1"/>
    <brk id="272" min="167" max="168" man="1"/>
    <brk id="275" min="170" max="171" man="1"/>
    <brk id="278" min="173" max="174" man="1"/>
    <brk id="281" min="176" max="177" man="1"/>
    <brk id="3773" max="16383" man="1"/>
    <brk id="6323" max="11830" man="1"/>
    <brk id="8224" min="8224" max="21280" man="1"/>
    <brk id="8238" min="25924" max="29550" man="1"/>
    <brk id="8238" min="10272" max="25665" man="1"/>
    <brk id="8292" min="25926" max="29541" man="1"/>
    <brk id="8364" min="28" max="12801" man="1"/>
    <brk id="10600" min="27" max="13313" man="1"/>
    <brk id="11379" min="17696" max="25460" man="1"/>
    <brk id="11825" min="16928" max="28271" man="1"/>
    <brk id="11829" min="16928" max="28261" man="1"/>
    <brk id="11849" min="16672" max="29027" man="1"/>
    <brk id="13312" min="8238" max="30018" man="1"/>
    <brk id="13824" min="8238" max="24912" man="1"/>
    <brk id="14080" min="8238" max="28483" man="1"/>
    <brk id="16672" min="28004" max="28265" man="1"/>
    <brk id="17152" min="28271" max="30067" man="1"/>
    <brk id="18761" min="11849" max="17184" man="1"/>
    <brk id="19488" min="28257" max="29540" man="1"/>
    <brk id="22089" min="8238" max="26950" man="1"/>
    <brk id="24937" min="26978" max="26988" man="1"/>
    <brk id="24948" min="8300" max="27713" man="1"/>
    <brk id="25205" min="21536" max="29807" man="1"/>
    <brk id="25972" min="25965" max="29806" man="1"/>
    <brk id="26015" min="46" max="13057" man="1"/>
    <brk id="26478" min="28261" max="31075" man="1"/>
    <brk id="26963" min="25972" max="28535" man="1"/>
    <brk id="26980" min="8308" max="20520" man="1"/>
    <brk id="26988" min="26996" max="28271" man="1"/>
    <brk id="26997" min="26995" max="26996" man="1"/>
    <brk id="27506" min="24864" max="25710" man="1"/>
    <brk id="28004" min="28265" max="29545" man="1"/>
    <brk id="28257" min="8292" max="27977" man="1"/>
    <brk id="28265" min="11367" max="21024" man="1"/>
    <brk id="28524" min="24951" max="25454" man="1"/>
    <brk id="28530" min="28014" max="28261" man="1"/>
    <brk id="29249" min="8308" max="27713" man="1"/>
    <brk id="29285" min="26989" max="29556" man="1"/>
    <brk id="29300" min="25461" max="26996" man="1"/>
    <brk id="29300" min="29793" max="30313" man="1"/>
    <brk id="29505" min="25954" max="29811" man="1"/>
    <brk id="29545" min="29300" max="29793" man="1"/>
    <brk id="29551" min="16672" max="24930" man="1"/>
    <brk id="29795" min="12064" max="17696" man="1"/>
    <brk id="29811" min="10272" max="28494" man="1"/>
    <brk id="30319" min="28005" max="28261" man="1"/>
    <brk id="31092" min="18720" max="29550" man="1"/>
  </rowBreaks>
</worksheet>
</file>

<file path=xl/worksheets/sheet30.xml><?xml version="1.0" encoding="utf-8"?>
<worksheet xmlns="http://schemas.openxmlformats.org/spreadsheetml/2006/main" xmlns:r="http://schemas.openxmlformats.org/officeDocument/2006/relationships">
  <sheetPr codeName="Sheet34">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1.4043000000000001</v>
      </c>
      <c r="C2">
        <v>0.2838</v>
      </c>
      <c r="D2">
        <v>13.6692</v>
      </c>
      <c r="E2">
        <v>0.63880000000000003</v>
      </c>
      <c r="F2">
        <v>1.2748999999999999</v>
      </c>
      <c r="G2">
        <v>1.1426000000000001</v>
      </c>
    </row>
    <row r="3" spans="1:87">
      <c r="A3" s="581" t="s">
        <v>1521</v>
      </c>
      <c r="B3">
        <v>1.4645999999999999</v>
      </c>
      <c r="C3">
        <v>0.3785</v>
      </c>
      <c r="D3">
        <v>17.6492</v>
      </c>
      <c r="E3">
        <v>0.88429999999999997</v>
      </c>
      <c r="F3">
        <v>1.2283999999999999</v>
      </c>
      <c r="G3">
        <v>1.1117999999999999</v>
      </c>
    </row>
    <row r="4" spans="1:87">
      <c r="A4" s="581" t="s">
        <v>1522</v>
      </c>
      <c r="B4">
        <v>1</v>
      </c>
      <c r="C4">
        <v>0</v>
      </c>
      <c r="D4">
        <v>0</v>
      </c>
      <c r="E4">
        <v>0</v>
      </c>
      <c r="F4">
        <v>0</v>
      </c>
      <c r="G4">
        <v>0</v>
      </c>
      <c r="N4" s="17"/>
      <c r="U4" s="21"/>
      <c r="X4" s="21"/>
    </row>
    <row r="5" spans="1:87">
      <c r="A5" s="581" t="s">
        <v>1523</v>
      </c>
      <c r="B5">
        <v>1.2614000000000001</v>
      </c>
      <c r="C5">
        <v>0.11459999999999999</v>
      </c>
      <c r="D5">
        <v>2.1991000000000001</v>
      </c>
      <c r="E5">
        <v>0.73409999999999997</v>
      </c>
      <c r="F5">
        <v>1.5359</v>
      </c>
      <c r="G5">
        <v>1.6317999999999999</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v>
      </c>
      <c r="C6">
        <v>0</v>
      </c>
      <c r="D6">
        <v>0</v>
      </c>
      <c r="E6">
        <v>0</v>
      </c>
      <c r="F6">
        <v>0</v>
      </c>
      <c r="G6">
        <v>0</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1.163</v>
      </c>
      <c r="C7">
        <v>9.6500000000000002E-2</v>
      </c>
      <c r="D7">
        <v>1.3185</v>
      </c>
      <c r="E7">
        <v>0.79330000000000001</v>
      </c>
      <c r="F7">
        <v>1.3912</v>
      </c>
      <c r="G7">
        <v>1.9616</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1.5527</v>
      </c>
      <c r="C8">
        <v>0.27650000000000002</v>
      </c>
      <c r="D8">
        <v>5.6939000000000002</v>
      </c>
      <c r="E8">
        <v>0.85370000000000001</v>
      </c>
      <c r="F8">
        <v>1.4499</v>
      </c>
      <c r="G8">
        <v>1.5508</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1.5129999999999999</v>
      </c>
      <c r="C9">
        <v>0.27379999999999999</v>
      </c>
      <c r="D9">
        <v>6.9607999999999999</v>
      </c>
      <c r="E9">
        <v>0.65110000000000001</v>
      </c>
      <c r="F9">
        <v>1.4177</v>
      </c>
      <c r="G9">
        <v>1.3540000000000001</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1.52</v>
      </c>
      <c r="C10">
        <v>0.1336</v>
      </c>
      <c r="D10">
        <v>2.7305999999999999</v>
      </c>
      <c r="E10">
        <v>0.68810000000000004</v>
      </c>
      <c r="F10">
        <v>2.2181999999999999</v>
      </c>
      <c r="G10">
        <v>2.2578</v>
      </c>
      <c r="U10" s="13"/>
      <c r="V10" s="23"/>
      <c r="W10" s="26"/>
      <c r="Y10" s="11"/>
      <c r="AM10" s="12"/>
      <c r="AV10" s="12"/>
      <c r="BE10" s="12"/>
      <c r="BN10" s="12"/>
      <c r="BW10" s="12"/>
      <c r="CF10" s="12"/>
    </row>
    <row r="11" spans="1:87">
      <c r="A11" s="581" t="s">
        <v>1529</v>
      </c>
      <c r="B11">
        <v>1.5569999999999999</v>
      </c>
      <c r="C11">
        <v>0.16800000000000001</v>
      </c>
      <c r="D11">
        <v>3.7946</v>
      </c>
      <c r="E11">
        <v>0.50280000000000002</v>
      </c>
      <c r="F11">
        <v>1.9577</v>
      </c>
      <c r="G11">
        <v>1.8472</v>
      </c>
      <c r="U11" s="13"/>
      <c r="V11" s="23"/>
      <c r="Y11" s="11"/>
      <c r="AM11" s="12"/>
      <c r="AP11" s="12"/>
      <c r="AV11" s="12"/>
      <c r="AY11" s="12"/>
      <c r="BE11" s="12"/>
      <c r="BH11" s="12"/>
      <c r="BN11" s="12"/>
      <c r="BQ11" s="12"/>
      <c r="BW11" s="12"/>
      <c r="BZ11" s="12"/>
      <c r="CF11" s="12"/>
      <c r="CI11" s="12"/>
    </row>
    <row r="12" spans="1:87">
      <c r="A12" s="581" t="s">
        <v>1530</v>
      </c>
      <c r="B12">
        <v>1.5114000000000001</v>
      </c>
      <c r="C12">
        <v>0.1961</v>
      </c>
      <c r="D12">
        <v>3.7894000000000001</v>
      </c>
      <c r="E12">
        <v>0.72789999999999999</v>
      </c>
      <c r="F12">
        <v>1.6315999999999999</v>
      </c>
      <c r="G12">
        <v>1.7847</v>
      </c>
      <c r="N12" s="15"/>
      <c r="U12" s="13"/>
      <c r="V12" s="23"/>
      <c r="Y12" s="11"/>
      <c r="AM12" s="12"/>
      <c r="AV12" s="12"/>
      <c r="BE12" s="12"/>
      <c r="BN12" s="12"/>
      <c r="BW12" s="12"/>
      <c r="CF12" s="12"/>
    </row>
    <row r="13" spans="1:87">
      <c r="A13" s="581" t="s">
        <v>1531</v>
      </c>
      <c r="B13">
        <v>1.5543</v>
      </c>
      <c r="C13">
        <v>0.22420000000000001</v>
      </c>
      <c r="D13">
        <v>3.6694</v>
      </c>
      <c r="E13">
        <v>0.7792</v>
      </c>
      <c r="F13">
        <v>1.6082000000000001</v>
      </c>
      <c r="G13">
        <v>1.9431</v>
      </c>
      <c r="N13" s="16"/>
      <c r="U13" s="13"/>
      <c r="V13" s="23"/>
      <c r="Y13" s="11"/>
      <c r="AM13" s="12"/>
      <c r="AV13" s="12"/>
      <c r="BE13" s="12"/>
      <c r="BN13" s="12"/>
      <c r="BW13" s="12"/>
      <c r="CF13" s="12"/>
    </row>
    <row r="14" spans="1:87">
      <c r="A14" s="581" t="s">
        <v>1532</v>
      </c>
      <c r="B14">
        <v>1.409</v>
      </c>
      <c r="C14">
        <v>0.20319999999999999</v>
      </c>
      <c r="D14">
        <v>3.1476999999999999</v>
      </c>
      <c r="E14">
        <v>0.95650000000000002</v>
      </c>
      <c r="F14">
        <v>1.4681</v>
      </c>
      <c r="G14">
        <v>1.7598</v>
      </c>
      <c r="N14" s="16"/>
      <c r="U14" s="13"/>
      <c r="V14" s="23"/>
      <c r="Y14" s="11"/>
      <c r="AM14" s="12"/>
      <c r="AV14" s="12"/>
      <c r="BE14" s="12"/>
      <c r="BN14" s="12"/>
      <c r="BW14" s="12"/>
      <c r="CF14" s="12"/>
    </row>
    <row r="15" spans="1:87">
      <c r="A15" s="581" t="s">
        <v>1533</v>
      </c>
      <c r="B15">
        <v>1.5363</v>
      </c>
      <c r="C15">
        <v>0.1595</v>
      </c>
      <c r="D15">
        <v>3.0114000000000001</v>
      </c>
      <c r="E15">
        <v>0.69969999999999999</v>
      </c>
      <c r="F15">
        <v>1.8466</v>
      </c>
      <c r="G15">
        <v>2.0888</v>
      </c>
      <c r="N15" s="15"/>
      <c r="U15" s="13"/>
      <c r="V15" s="23"/>
      <c r="Y15" s="11"/>
      <c r="AM15" s="12"/>
      <c r="AV15" s="12"/>
    </row>
    <row r="16" spans="1:87">
      <c r="A16" s="581" t="s">
        <v>1534</v>
      </c>
      <c r="B16">
        <v>1.587</v>
      </c>
      <c r="C16">
        <v>0.17150000000000001</v>
      </c>
      <c r="D16">
        <v>3.9535999999999998</v>
      </c>
      <c r="E16">
        <v>0.49220000000000003</v>
      </c>
      <c r="F16">
        <v>2.1269</v>
      </c>
      <c r="G16">
        <v>1.8344</v>
      </c>
      <c r="U16" s="13"/>
      <c r="V16" s="23"/>
      <c r="Y16" s="11"/>
      <c r="AM16" s="12"/>
      <c r="AV16" s="12"/>
      <c r="BE16" s="12"/>
      <c r="BN16" s="12"/>
      <c r="BW16" s="12"/>
      <c r="CF16" s="12"/>
    </row>
    <row r="17" spans="1:87">
      <c r="A17" s="581" t="s">
        <v>1535</v>
      </c>
      <c r="B17">
        <v>1.7098</v>
      </c>
      <c r="C17">
        <v>0.1867</v>
      </c>
      <c r="D17">
        <v>4.3505000000000003</v>
      </c>
      <c r="E17">
        <v>0.70140000000000002</v>
      </c>
      <c r="F17">
        <v>2.3149999999999999</v>
      </c>
      <c r="G17">
        <v>2.0251999999999999</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1.4763999999999999</v>
      </c>
      <c r="C18">
        <v>0.20119999999999999</v>
      </c>
      <c r="D18">
        <v>3.9790999999999999</v>
      </c>
      <c r="E18">
        <v>0.77969999999999995</v>
      </c>
      <c r="F18">
        <v>1.5459000000000001</v>
      </c>
      <c r="G18">
        <v>1.6547000000000001</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1.4757</v>
      </c>
      <c r="C19">
        <v>0.20730000000000001</v>
      </c>
      <c r="D19">
        <v>3.4359000000000002</v>
      </c>
      <c r="E19">
        <v>0.85719999999999996</v>
      </c>
      <c r="F19">
        <v>1.5278</v>
      </c>
      <c r="G19">
        <v>1.8348</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1.5011000000000001</v>
      </c>
      <c r="C20">
        <v>0.14810000000000001</v>
      </c>
      <c r="D20">
        <v>3.1882999999999999</v>
      </c>
      <c r="E20">
        <v>0.54320000000000002</v>
      </c>
      <c r="F20">
        <v>2.0514000000000001</v>
      </c>
      <c r="G20">
        <v>1.9798</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1.4763999999999999</v>
      </c>
      <c r="C21">
        <v>0.1014</v>
      </c>
      <c r="D21">
        <v>2.1798000000000002</v>
      </c>
      <c r="E21">
        <v>0.57720000000000005</v>
      </c>
      <c r="F21">
        <v>2.7957000000000001</v>
      </c>
      <c r="G21">
        <v>2.4302000000000001</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1.4694</v>
      </c>
      <c r="C22">
        <v>0.25159999999999999</v>
      </c>
      <c r="D22">
        <v>6.6788999999999996</v>
      </c>
      <c r="E22">
        <v>0.94399999999999995</v>
      </c>
      <c r="F22">
        <v>1.4475</v>
      </c>
      <c r="G22">
        <v>1.3808</v>
      </c>
      <c r="K22" s="17"/>
      <c r="L22" s="17"/>
      <c r="M22" s="17"/>
      <c r="N22" s="17"/>
      <c r="O22" s="17"/>
      <c r="P22" s="17"/>
      <c r="U22" s="13"/>
      <c r="V22" s="23"/>
      <c r="Y22" s="11"/>
      <c r="AM22" s="12"/>
      <c r="AV22" s="12"/>
      <c r="BE22" s="12"/>
      <c r="BN22" s="12"/>
      <c r="BW22" s="12"/>
      <c r="CF22" s="12"/>
    </row>
    <row r="23" spans="1:87">
      <c r="A23" s="581" t="s">
        <v>1541</v>
      </c>
      <c r="B23">
        <v>1.4192</v>
      </c>
      <c r="C23">
        <v>0.1331</v>
      </c>
      <c r="D23">
        <v>2.3889999999999998</v>
      </c>
      <c r="E23">
        <v>0.57769999999999999</v>
      </c>
      <c r="F23">
        <v>1.8503000000000001</v>
      </c>
      <c r="G23">
        <v>2.0619999999999998</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1.6794</v>
      </c>
      <c r="C24">
        <v>0.24629999999999999</v>
      </c>
      <c r="D24">
        <v>5.4341999999999997</v>
      </c>
      <c r="E24">
        <v>0.76349999999999996</v>
      </c>
      <c r="F24">
        <v>1.7217</v>
      </c>
      <c r="G24">
        <v>1.7378</v>
      </c>
      <c r="K24" s="17"/>
      <c r="L24" s="17"/>
      <c r="M24" s="17"/>
      <c r="N24" s="18"/>
      <c r="O24" s="18"/>
      <c r="P24" s="17"/>
      <c r="R24" s="11"/>
      <c r="U24" s="13"/>
      <c r="V24" s="23"/>
      <c r="Y24" s="11"/>
      <c r="AM24" s="12"/>
      <c r="AV24" s="12"/>
      <c r="BE24" s="12"/>
      <c r="BN24" s="12"/>
      <c r="BW24" s="12"/>
      <c r="CF24" s="12"/>
    </row>
    <row r="25" spans="1:87">
      <c r="A25" s="581" t="s">
        <v>1543</v>
      </c>
      <c r="B25">
        <v>1.1211</v>
      </c>
      <c r="C25">
        <v>9.4799999999999995E-2</v>
      </c>
      <c r="D25">
        <v>1.1412</v>
      </c>
      <c r="E25">
        <v>0.34010000000000001</v>
      </c>
      <c r="F25">
        <v>1.2411000000000001</v>
      </c>
      <c r="G25">
        <v>1.6187</v>
      </c>
      <c r="K25" s="17"/>
      <c r="L25" s="17"/>
      <c r="M25" s="17"/>
      <c r="N25" s="18"/>
      <c r="O25" s="17"/>
      <c r="P25" s="17"/>
      <c r="U25" s="13"/>
      <c r="V25" s="23"/>
      <c r="Y25" s="11"/>
      <c r="AM25" s="12"/>
      <c r="AV25" s="12"/>
      <c r="BE25" s="12"/>
      <c r="BN25" s="12"/>
      <c r="BW25" s="12"/>
      <c r="CF25" s="12"/>
    </row>
    <row r="26" spans="1:87">
      <c r="A26" s="581" t="s">
        <v>1544</v>
      </c>
      <c r="B26">
        <v>1.466</v>
      </c>
      <c r="C26">
        <v>0.1424</v>
      </c>
      <c r="D26">
        <v>1.9990000000000001</v>
      </c>
      <c r="E26">
        <v>0.62350000000000005</v>
      </c>
      <c r="F26">
        <v>1.9650000000000001</v>
      </c>
      <c r="G26">
        <v>2.7881999999999998</v>
      </c>
      <c r="Y26" s="11"/>
      <c r="AM26" s="12"/>
      <c r="AV26" s="12"/>
      <c r="BE26" s="12"/>
      <c r="BN26" s="12"/>
      <c r="BW26" s="12"/>
      <c r="CF26" s="12"/>
    </row>
    <row r="27" spans="1:87">
      <c r="A27" s="581" t="s">
        <v>1545</v>
      </c>
      <c r="B27">
        <v>1.4187000000000001</v>
      </c>
      <c r="C27">
        <v>0.14899999999999999</v>
      </c>
      <c r="D27">
        <v>2.9980000000000002</v>
      </c>
      <c r="E27">
        <v>0.61660000000000004</v>
      </c>
      <c r="F27">
        <v>1.7004999999999999</v>
      </c>
      <c r="G27">
        <v>1.7454000000000001</v>
      </c>
      <c r="M27" s="12"/>
      <c r="Y27" s="11"/>
      <c r="AM27" s="12"/>
      <c r="AV27" s="12"/>
    </row>
    <row r="28" spans="1:87">
      <c r="A28" s="581" t="s">
        <v>1546</v>
      </c>
      <c r="B28">
        <v>1.5288999999999999</v>
      </c>
      <c r="C28">
        <v>0.23649999999999999</v>
      </c>
      <c r="D28">
        <v>4.0842999999999998</v>
      </c>
      <c r="E28">
        <v>0.98089999999999999</v>
      </c>
      <c r="F28">
        <v>1.5649999999999999</v>
      </c>
      <c r="G28">
        <v>1.9393</v>
      </c>
      <c r="M28" s="13"/>
      <c r="N28" s="12"/>
      <c r="O28" s="14"/>
      <c r="Q28" s="12"/>
      <c r="Y28" s="11"/>
      <c r="AM28" s="12"/>
      <c r="AV28" s="12"/>
      <c r="BE28" s="12"/>
      <c r="BN28" s="12"/>
      <c r="BW28" s="12"/>
      <c r="CF28" s="12"/>
    </row>
    <row r="29" spans="1:87">
      <c r="A29" s="581" t="s">
        <v>1547</v>
      </c>
      <c r="B29">
        <v>1.5026999999999999</v>
      </c>
      <c r="C29">
        <v>0.2394</v>
      </c>
      <c r="D29">
        <v>7.7613000000000003</v>
      </c>
      <c r="E29">
        <v>0.97699999999999998</v>
      </c>
      <c r="F29">
        <v>1.4633</v>
      </c>
      <c r="G29">
        <v>1.3284</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1.3494999999999999</v>
      </c>
      <c r="C30">
        <v>0.11020000000000001</v>
      </c>
      <c r="D30">
        <v>2.3058999999999998</v>
      </c>
      <c r="E30">
        <v>0.64770000000000005</v>
      </c>
      <c r="F30">
        <v>1.9979</v>
      </c>
      <c r="G30">
        <v>2.5602</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1.5802</v>
      </c>
      <c r="C31">
        <v>0.19600000000000001</v>
      </c>
      <c r="D31">
        <v>3.3513999999999999</v>
      </c>
      <c r="E31">
        <v>0.76859999999999995</v>
      </c>
      <c r="F31">
        <v>1.853</v>
      </c>
      <c r="G31">
        <v>2.4091</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1.3353999999999999</v>
      </c>
      <c r="C32">
        <v>8.4900000000000003E-2</v>
      </c>
      <c r="D32">
        <v>1.5679000000000001</v>
      </c>
      <c r="E32">
        <v>0.61580000000000001</v>
      </c>
      <c r="F32">
        <v>2.5623999999999998</v>
      </c>
      <c r="G32">
        <v>4.0731999999999999</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1.5162</v>
      </c>
      <c r="C33">
        <v>0.20280000000000001</v>
      </c>
      <c r="D33">
        <v>4.6877000000000004</v>
      </c>
      <c r="E33">
        <v>0.78480000000000005</v>
      </c>
      <c r="F33">
        <v>1.6798999999999999</v>
      </c>
      <c r="G33">
        <v>1.7781</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1.3366</v>
      </c>
      <c r="C34">
        <v>0.26</v>
      </c>
      <c r="D34">
        <v>7.7263999999999999</v>
      </c>
      <c r="E34">
        <v>0.90959999999999996</v>
      </c>
      <c r="F34">
        <v>1.2531000000000001</v>
      </c>
      <c r="G34">
        <v>1.1998</v>
      </c>
      <c r="K34" s="17"/>
      <c r="L34" s="17"/>
      <c r="M34" s="17"/>
      <c r="N34" s="17"/>
      <c r="O34" s="17"/>
      <c r="P34" s="17"/>
      <c r="Y34" s="11"/>
      <c r="AM34" s="12"/>
      <c r="AV34" s="12"/>
      <c r="BE34" s="12"/>
      <c r="BN34" s="12"/>
      <c r="BW34" s="12"/>
      <c r="CF34" s="12"/>
    </row>
    <row r="35" spans="1:87">
      <c r="A35" s="581" t="s">
        <v>1553</v>
      </c>
      <c r="B35">
        <v>1.7221</v>
      </c>
      <c r="C35">
        <v>0.56100000000000005</v>
      </c>
      <c r="D35">
        <v>8.0383999999999993</v>
      </c>
      <c r="E35">
        <v>1.0587</v>
      </c>
      <c r="F35">
        <v>1.2622</v>
      </c>
      <c r="G35">
        <v>1.5810999999999999</v>
      </c>
      <c r="K35" s="17"/>
      <c r="L35" s="17"/>
      <c r="M35" s="17"/>
      <c r="N35" s="18"/>
      <c r="O35" s="18"/>
      <c r="P35" s="17"/>
      <c r="Y35" s="11"/>
      <c r="AM35" s="12"/>
      <c r="AP35" s="12"/>
      <c r="AV35" s="12"/>
      <c r="AY35" s="12"/>
      <c r="BE35" s="12"/>
      <c r="BH35" s="12"/>
      <c r="BN35" s="12"/>
      <c r="BQ35" s="12"/>
      <c r="BW35" s="12"/>
      <c r="BZ35" s="12"/>
      <c r="CF35" s="12"/>
      <c r="CI35" s="12"/>
    </row>
    <row r="36" spans="1:87">
      <c r="A36" s="581" t="s">
        <v>1554</v>
      </c>
      <c r="B36">
        <v>1.403</v>
      </c>
      <c r="C36">
        <v>0.22259999999999999</v>
      </c>
      <c r="D36">
        <v>4.8529999999999998</v>
      </c>
      <c r="E36">
        <v>0.94569999999999999</v>
      </c>
      <c r="F36">
        <v>1.4086000000000001</v>
      </c>
      <c r="G36">
        <v>1.4984</v>
      </c>
      <c r="K36" s="17"/>
      <c r="L36" s="17"/>
      <c r="M36" s="17"/>
      <c r="N36" s="18"/>
      <c r="O36" s="18"/>
      <c r="P36" s="17"/>
      <c r="Y36" s="11"/>
      <c r="AM36" s="12"/>
      <c r="AV36" s="12"/>
      <c r="BE36" s="12"/>
      <c r="BN36" s="12"/>
      <c r="BW36" s="12"/>
      <c r="CF36" s="12"/>
    </row>
    <row r="37" spans="1:87">
      <c r="A37" s="581" t="s">
        <v>1555</v>
      </c>
      <c r="B37">
        <v>1.5427999999999999</v>
      </c>
      <c r="C37">
        <v>0.34329999999999999</v>
      </c>
      <c r="D37">
        <v>8.6692</v>
      </c>
      <c r="E37">
        <v>1.0739000000000001</v>
      </c>
      <c r="F37">
        <v>1.3285</v>
      </c>
      <c r="G37">
        <v>1.3557999999999999</v>
      </c>
      <c r="K37" s="17"/>
      <c r="L37" s="17"/>
      <c r="M37" s="17"/>
      <c r="N37" s="17"/>
      <c r="O37" s="17"/>
      <c r="P37" s="17"/>
      <c r="Y37" s="11"/>
    </row>
    <row r="38" spans="1:87">
      <c r="A38" s="581" t="s">
        <v>1556</v>
      </c>
      <c r="B38">
        <v>1.7090000000000001</v>
      </c>
      <c r="C38">
        <v>0.22</v>
      </c>
      <c r="D38">
        <v>4.3987999999999996</v>
      </c>
      <c r="E38">
        <v>0.90680000000000005</v>
      </c>
      <c r="F38">
        <v>2.0468999999999999</v>
      </c>
      <c r="G38">
        <v>2.4828000000000001</v>
      </c>
      <c r="Y38" s="11"/>
    </row>
    <row r="39" spans="1:87">
      <c r="A39" s="581" t="s">
        <v>1557</v>
      </c>
      <c r="B39">
        <v>1.5581</v>
      </c>
      <c r="C39">
        <v>0.28589999999999999</v>
      </c>
      <c r="D39">
        <v>7.3577000000000004</v>
      </c>
      <c r="E39">
        <v>0.92230000000000001</v>
      </c>
      <c r="F39">
        <v>1.4443999999999999</v>
      </c>
      <c r="G39">
        <v>1.4363999999999999</v>
      </c>
      <c r="Y39" s="11"/>
    </row>
    <row r="40" spans="1:87">
      <c r="A40" s="581" t="s">
        <v>1558</v>
      </c>
      <c r="B40">
        <v>1</v>
      </c>
      <c r="C40">
        <v>0</v>
      </c>
      <c r="D40">
        <v>0</v>
      </c>
      <c r="E40">
        <v>0</v>
      </c>
      <c r="F40">
        <v>0</v>
      </c>
      <c r="G40">
        <v>0</v>
      </c>
      <c r="N40" s="12"/>
      <c r="O40" s="14"/>
      <c r="Q40" s="12"/>
      <c r="Y40" s="11"/>
    </row>
    <row r="41" spans="1:87">
      <c r="A41" s="581" t="s">
        <v>1559</v>
      </c>
      <c r="B41">
        <v>1.4530000000000001</v>
      </c>
      <c r="C41">
        <v>0.1193</v>
      </c>
      <c r="D41">
        <v>2.1720999999999999</v>
      </c>
      <c r="E41">
        <v>0.84970000000000001</v>
      </c>
      <c r="F41">
        <v>2.1652</v>
      </c>
      <c r="G41">
        <v>2.9199000000000002</v>
      </c>
      <c r="N41" s="12"/>
      <c r="O41" s="14"/>
      <c r="Q41" s="12"/>
      <c r="Y41" s="11"/>
    </row>
    <row r="42" spans="1:87">
      <c r="A42" s="581" t="s">
        <v>1560</v>
      </c>
      <c r="B42">
        <v>1.6654</v>
      </c>
      <c r="C42">
        <v>0.18940000000000001</v>
      </c>
      <c r="D42">
        <v>3.5394000000000001</v>
      </c>
      <c r="E42">
        <v>0.89159999999999995</v>
      </c>
      <c r="F42">
        <v>2.137</v>
      </c>
      <c r="G42">
        <v>3.0649000000000002</v>
      </c>
      <c r="Y42" s="11"/>
    </row>
    <row r="43" spans="1:87">
      <c r="A43" s="581" t="s">
        <v>1561</v>
      </c>
      <c r="B43">
        <v>1.6691</v>
      </c>
      <c r="C43">
        <v>0.1898</v>
      </c>
      <c r="D43">
        <v>3.6795</v>
      </c>
      <c r="E43">
        <v>0.95540000000000003</v>
      </c>
      <c r="F43">
        <v>2.0775000000000001</v>
      </c>
      <c r="G43">
        <v>2.4779</v>
      </c>
      <c r="Q43" s="12"/>
      <c r="Y43" s="11"/>
    </row>
    <row r="44" spans="1:87">
      <c r="A44" s="581" t="s">
        <v>1562</v>
      </c>
      <c r="B44">
        <v>2.0007999999999999</v>
      </c>
      <c r="C44">
        <v>0.27610000000000001</v>
      </c>
      <c r="D44">
        <v>5.5107999999999997</v>
      </c>
      <c r="E44">
        <v>0.94320000000000004</v>
      </c>
      <c r="F44">
        <v>2.1154999999999999</v>
      </c>
      <c r="G44">
        <v>2.4741</v>
      </c>
      <c r="Y44" s="11"/>
    </row>
    <row r="45" spans="1:87">
      <c r="A45" s="581" t="s">
        <v>1563</v>
      </c>
      <c r="B45">
        <v>1.5982000000000001</v>
      </c>
      <c r="C45">
        <v>0.20949999999999999</v>
      </c>
      <c r="D45">
        <v>3.6244000000000001</v>
      </c>
      <c r="E45">
        <v>1.0218</v>
      </c>
      <c r="F45">
        <v>1.6853</v>
      </c>
      <c r="G45">
        <v>1.9946999999999999</v>
      </c>
      <c r="Q45" s="12"/>
      <c r="Y45" s="11"/>
    </row>
    <row r="46" spans="1:87">
      <c r="A46" s="581" t="s">
        <v>1564</v>
      </c>
      <c r="B46">
        <v>2.1191</v>
      </c>
      <c r="C46">
        <v>0.2215</v>
      </c>
      <c r="D46">
        <v>7.1117999999999997</v>
      </c>
      <c r="E46">
        <v>0.97119999999999995</v>
      </c>
      <c r="F46">
        <v>3.3119000000000001</v>
      </c>
      <c r="G46">
        <v>1.8066</v>
      </c>
      <c r="Q46" s="16"/>
      <c r="Y46" s="11"/>
    </row>
    <row r="47" spans="1:87">
      <c r="A47" s="581" t="s">
        <v>1565</v>
      </c>
      <c r="B47">
        <v>1.4092</v>
      </c>
      <c r="C47">
        <v>0.10050000000000001</v>
      </c>
      <c r="D47">
        <v>5.1650999999999998</v>
      </c>
      <c r="E47">
        <v>0.94430000000000003</v>
      </c>
      <c r="F47">
        <v>2.1703999999999999</v>
      </c>
      <c r="G47">
        <v>1.3587</v>
      </c>
      <c r="Q47" s="16"/>
      <c r="Y47" s="11"/>
    </row>
    <row r="48" spans="1:87">
      <c r="A48" s="581" t="s">
        <v>1566</v>
      </c>
      <c r="B48">
        <v>1.2811999999999999</v>
      </c>
      <c r="C48">
        <v>0.12559999999999999</v>
      </c>
      <c r="D48">
        <v>2.2475999999999998</v>
      </c>
      <c r="E48">
        <v>0.90690000000000004</v>
      </c>
      <c r="F48">
        <v>1.5165</v>
      </c>
      <c r="G48">
        <v>1.8829</v>
      </c>
      <c r="Y48" s="11"/>
    </row>
    <row r="49" spans="1:25">
      <c r="A49" s="581" t="s">
        <v>1567</v>
      </c>
      <c r="B49">
        <v>1.5177</v>
      </c>
      <c r="C49">
        <v>0.30509999999999998</v>
      </c>
      <c r="D49">
        <v>5.2945000000000002</v>
      </c>
      <c r="E49">
        <v>1.0378000000000001</v>
      </c>
      <c r="F49">
        <v>1.3629</v>
      </c>
      <c r="G49">
        <v>1.6389</v>
      </c>
      <c r="Y49" s="11"/>
    </row>
    <row r="50" spans="1:25">
      <c r="A50" s="581" t="s">
        <v>1568</v>
      </c>
      <c r="B50">
        <v>1.6500999999999999</v>
      </c>
      <c r="C50">
        <v>0.34129999999999999</v>
      </c>
      <c r="D50">
        <v>4.5833000000000004</v>
      </c>
      <c r="E50">
        <v>1.0462</v>
      </c>
      <c r="F50">
        <v>1.4140999999999999</v>
      </c>
      <c r="G50">
        <v>2.0480999999999998</v>
      </c>
      <c r="Y50" s="11"/>
    </row>
    <row r="51" spans="1:25">
      <c r="A51" s="581" t="s">
        <v>1569</v>
      </c>
      <c r="B51">
        <v>1.5502</v>
      </c>
      <c r="C51">
        <v>0.30299999999999999</v>
      </c>
      <c r="D51">
        <v>10.3512</v>
      </c>
      <c r="E51">
        <v>1.0111000000000001</v>
      </c>
      <c r="F51">
        <v>1.3971</v>
      </c>
      <c r="G51">
        <v>1.2686999999999999</v>
      </c>
      <c r="Y51" s="11"/>
    </row>
    <row r="52" spans="1:25">
      <c r="A52" s="581" t="s">
        <v>1570</v>
      </c>
      <c r="B52">
        <v>1.7919</v>
      </c>
      <c r="C52">
        <v>0.38969999999999999</v>
      </c>
      <c r="D52">
        <v>7.1950000000000003</v>
      </c>
      <c r="E52">
        <v>0.99439999999999995</v>
      </c>
      <c r="F52">
        <v>1.5425</v>
      </c>
      <c r="G52">
        <v>1.7646999999999999</v>
      </c>
      <c r="Y52" s="11"/>
    </row>
    <row r="53" spans="1:25">
      <c r="A53" s="581" t="s">
        <v>1571</v>
      </c>
      <c r="B53">
        <v>1.5992999999999999</v>
      </c>
      <c r="C53">
        <v>0.37869999999999998</v>
      </c>
      <c r="D53">
        <v>12.202199999999999</v>
      </c>
      <c r="E53">
        <v>1.0278</v>
      </c>
      <c r="F53">
        <v>1.2906</v>
      </c>
      <c r="G53">
        <v>1.2378</v>
      </c>
      <c r="K53" s="17"/>
      <c r="N53" s="17"/>
      <c r="O53" s="17"/>
      <c r="P53" s="17"/>
      <c r="Y53" s="11"/>
    </row>
    <row r="54" spans="1:25">
      <c r="A54" s="581" t="s">
        <v>1572</v>
      </c>
      <c r="B54">
        <v>1.6785000000000001</v>
      </c>
      <c r="C54">
        <v>0.43759999999999999</v>
      </c>
      <c r="D54">
        <v>8.0678000000000001</v>
      </c>
      <c r="E54">
        <v>1.1092</v>
      </c>
      <c r="F54">
        <v>1.3288</v>
      </c>
      <c r="G54">
        <v>1.5082</v>
      </c>
      <c r="K54" s="17"/>
      <c r="N54" s="12"/>
      <c r="O54" s="12"/>
      <c r="Y54" s="11"/>
    </row>
    <row r="55" spans="1:25">
      <c r="A55" s="581" t="s">
        <v>1573</v>
      </c>
      <c r="B55">
        <v>1.7710999999999999</v>
      </c>
      <c r="C55">
        <v>0.34470000000000001</v>
      </c>
      <c r="D55">
        <v>7.0522</v>
      </c>
      <c r="E55">
        <v>1.0177</v>
      </c>
      <c r="F55">
        <v>1.4718</v>
      </c>
      <c r="G55">
        <v>1.7000999999999999</v>
      </c>
      <c r="K55" s="17"/>
      <c r="N55" s="12"/>
      <c r="O55" s="12"/>
      <c r="Y55" s="11"/>
    </row>
    <row r="56" spans="1:25">
      <c r="A56" s="581" t="s">
        <v>1574</v>
      </c>
      <c r="B56">
        <v>1.5153000000000001</v>
      </c>
      <c r="C56">
        <v>0.27950000000000003</v>
      </c>
      <c r="D56">
        <v>8.6525999999999996</v>
      </c>
      <c r="E56">
        <v>1.0002</v>
      </c>
      <c r="F56">
        <v>1.3808</v>
      </c>
      <c r="G56">
        <v>1.3091999999999999</v>
      </c>
      <c r="K56" s="17"/>
      <c r="Y56" s="11"/>
    </row>
    <row r="57" spans="1:25">
      <c r="A57" s="581" t="s">
        <v>1575</v>
      </c>
      <c r="B57">
        <v>1.6698</v>
      </c>
      <c r="C57">
        <v>0.39229999999999998</v>
      </c>
      <c r="D57">
        <v>15.8605</v>
      </c>
      <c r="E57">
        <v>1.0449999999999999</v>
      </c>
      <c r="F57">
        <v>1.3383</v>
      </c>
      <c r="G57">
        <v>1.1976</v>
      </c>
      <c r="Y57" s="11"/>
    </row>
    <row r="58" spans="1:25">
      <c r="A58" s="581" t="s">
        <v>1576</v>
      </c>
      <c r="B58">
        <v>1.6120000000000001</v>
      </c>
      <c r="C58">
        <v>0.27879999999999999</v>
      </c>
      <c r="D58">
        <v>9.1171000000000006</v>
      </c>
      <c r="E58">
        <v>0.97270000000000001</v>
      </c>
      <c r="F58">
        <v>1.5529999999999999</v>
      </c>
      <c r="G58">
        <v>1.4018999999999999</v>
      </c>
      <c r="Y58" s="11"/>
    </row>
    <row r="59" spans="1:25">
      <c r="A59" s="581" t="s">
        <v>1577</v>
      </c>
      <c r="B59">
        <v>1.635</v>
      </c>
      <c r="C59">
        <v>0.33479999999999999</v>
      </c>
      <c r="D59">
        <v>16.180700000000002</v>
      </c>
      <c r="E59">
        <v>1.0307999999999999</v>
      </c>
      <c r="F59">
        <v>1.3703000000000001</v>
      </c>
      <c r="G59">
        <v>1.1585000000000001</v>
      </c>
      <c r="N59" s="12"/>
      <c r="O59" s="14"/>
      <c r="Q59" s="12"/>
      <c r="Y59" s="11"/>
    </row>
    <row r="60" spans="1:25">
      <c r="A60" s="581" t="s">
        <v>1578</v>
      </c>
      <c r="B60">
        <v>1.6214</v>
      </c>
      <c r="C60">
        <v>0.24399999999999999</v>
      </c>
      <c r="D60">
        <v>6.6241000000000003</v>
      </c>
      <c r="E60">
        <v>0.92569999999999997</v>
      </c>
      <c r="F60">
        <v>1.7011000000000001</v>
      </c>
      <c r="G60">
        <v>1.5487</v>
      </c>
      <c r="N60" s="12"/>
      <c r="O60" s="14"/>
      <c r="Q60" s="12"/>
      <c r="Y60" s="11"/>
    </row>
    <row r="61" spans="1:25">
      <c r="A61" s="581" t="s">
        <v>1579</v>
      </c>
      <c r="B61">
        <v>1.5558000000000001</v>
      </c>
      <c r="C61">
        <v>0.2868</v>
      </c>
      <c r="D61">
        <v>12.637</v>
      </c>
      <c r="E61">
        <v>0.88319999999999999</v>
      </c>
      <c r="F61">
        <v>1.4051</v>
      </c>
      <c r="G61">
        <v>1.1876</v>
      </c>
      <c r="Y61" s="11"/>
    </row>
    <row r="62" spans="1:25">
      <c r="A62" s="581" t="s">
        <v>1580</v>
      </c>
      <c r="B62">
        <v>1.6721999999999999</v>
      </c>
      <c r="C62">
        <v>0.35120000000000001</v>
      </c>
      <c r="D62">
        <v>8.9908999999999999</v>
      </c>
      <c r="E62">
        <v>0.96140000000000003</v>
      </c>
      <c r="F62">
        <v>1.4064000000000001</v>
      </c>
      <c r="G62">
        <v>1.4031</v>
      </c>
      <c r="Q62" s="12"/>
      <c r="Y62" s="11"/>
    </row>
    <row r="63" spans="1:25">
      <c r="A63" s="581" t="s">
        <v>1581</v>
      </c>
      <c r="B63">
        <v>0.90329999999999999</v>
      </c>
      <c r="C63">
        <v>0.13980000000000001</v>
      </c>
      <c r="D63">
        <v>3.8969</v>
      </c>
      <c r="E63">
        <v>0.56110000000000004</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sheetPr codeName="Sheet33">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1.4414</v>
      </c>
      <c r="C2">
        <v>0.4531</v>
      </c>
      <c r="D2">
        <v>21.821200000000001</v>
      </c>
      <c r="E2">
        <v>0.67010000000000003</v>
      </c>
      <c r="F2">
        <v>1.3140000000000001</v>
      </c>
      <c r="G2">
        <v>1.1774</v>
      </c>
    </row>
    <row r="3" spans="1:87">
      <c r="A3" s="581" t="s">
        <v>1521</v>
      </c>
      <c r="B3">
        <v>1.5851</v>
      </c>
      <c r="C3">
        <v>0.3619</v>
      </c>
      <c r="D3">
        <v>17.104700000000001</v>
      </c>
      <c r="E3">
        <v>0.98509999999999998</v>
      </c>
      <c r="F3">
        <v>1.4003000000000001</v>
      </c>
      <c r="G3">
        <v>1.2847999999999999</v>
      </c>
    </row>
    <row r="4" spans="1:87">
      <c r="A4" s="581" t="s">
        <v>1522</v>
      </c>
      <c r="B4">
        <v>1</v>
      </c>
      <c r="C4">
        <v>0</v>
      </c>
      <c r="D4">
        <v>0</v>
      </c>
      <c r="E4">
        <v>0</v>
      </c>
      <c r="F4">
        <v>0</v>
      </c>
      <c r="G4">
        <v>0</v>
      </c>
      <c r="N4" s="17"/>
      <c r="U4" s="21"/>
      <c r="X4" s="21"/>
    </row>
    <row r="5" spans="1:87">
      <c r="A5" s="581" t="s">
        <v>1523</v>
      </c>
      <c r="B5">
        <v>1.3604000000000001</v>
      </c>
      <c r="C5">
        <v>0.3669</v>
      </c>
      <c r="D5">
        <v>7.4042000000000003</v>
      </c>
      <c r="E5">
        <v>0.79749999999999999</v>
      </c>
      <c r="F5">
        <v>1.3186</v>
      </c>
      <c r="G5">
        <v>1.474</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1.4241999999999999</v>
      </c>
      <c r="C6">
        <v>0.25850000000000001</v>
      </c>
      <c r="D6">
        <v>6.0484999999999998</v>
      </c>
      <c r="E6">
        <v>0.65790000000000004</v>
      </c>
      <c r="F6">
        <v>1.6537999999999999</v>
      </c>
      <c r="G6">
        <v>1.6551</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1.2335</v>
      </c>
      <c r="C7">
        <v>0.22520000000000001</v>
      </c>
      <c r="D7">
        <v>3.2547000000000001</v>
      </c>
      <c r="E7">
        <v>0.83620000000000005</v>
      </c>
      <c r="F7">
        <v>1.3663000000000001</v>
      </c>
      <c r="G7">
        <v>2.0377000000000001</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1.5885</v>
      </c>
      <c r="C8">
        <v>0.4909</v>
      </c>
      <c r="D8">
        <v>10.599600000000001</v>
      </c>
      <c r="E8">
        <v>0.87350000000000005</v>
      </c>
      <c r="F8">
        <v>1.4314</v>
      </c>
      <c r="G8">
        <v>1.6053999999999999</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1.4891000000000001</v>
      </c>
      <c r="C9">
        <v>0.32629999999999998</v>
      </c>
      <c r="D9">
        <v>8.6371000000000002</v>
      </c>
      <c r="E9">
        <v>0.63639999999999997</v>
      </c>
      <c r="F9">
        <v>1.6023000000000001</v>
      </c>
      <c r="G9">
        <v>1.5934999999999999</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1.5027999999999999</v>
      </c>
      <c r="C10">
        <v>0.3211</v>
      </c>
      <c r="D10">
        <v>7.0618999999999996</v>
      </c>
      <c r="E10">
        <v>0.68820000000000003</v>
      </c>
      <c r="F10">
        <v>1.6577999999999999</v>
      </c>
      <c r="G10">
        <v>1.8152999999999999</v>
      </c>
      <c r="U10" s="13"/>
      <c r="V10" s="23"/>
      <c r="W10" s="26"/>
      <c r="Y10" s="11"/>
      <c r="AM10" s="12"/>
      <c r="AV10" s="12"/>
      <c r="BE10" s="12"/>
      <c r="BN10" s="12"/>
      <c r="BW10" s="12"/>
      <c r="CF10" s="12"/>
    </row>
    <row r="11" spans="1:87">
      <c r="A11" s="581" t="s">
        <v>1529</v>
      </c>
      <c r="B11">
        <v>1.3507</v>
      </c>
      <c r="C11">
        <v>0.1613</v>
      </c>
      <c r="D11">
        <v>3.8982999999999999</v>
      </c>
      <c r="E11">
        <v>0.3795</v>
      </c>
      <c r="F11">
        <v>1.8371999999999999</v>
      </c>
      <c r="G11">
        <v>1.8548</v>
      </c>
      <c r="U11" s="13"/>
      <c r="V11" s="23"/>
      <c r="Y11" s="11"/>
      <c r="AM11" s="12"/>
      <c r="AP11" s="12"/>
      <c r="AV11" s="12"/>
      <c r="AY11" s="12"/>
      <c r="BE11" s="12"/>
      <c r="BH11" s="12"/>
      <c r="BN11" s="12"/>
      <c r="BQ11" s="12"/>
      <c r="BW11" s="12"/>
      <c r="BZ11" s="12"/>
      <c r="CF11" s="12"/>
      <c r="CI11" s="12"/>
    </row>
    <row r="12" spans="1:87">
      <c r="A12" s="581" t="s">
        <v>1530</v>
      </c>
      <c r="B12">
        <v>1.4100999999999999</v>
      </c>
      <c r="C12">
        <v>0.30630000000000002</v>
      </c>
      <c r="D12">
        <v>6.2629000000000001</v>
      </c>
      <c r="E12">
        <v>0.67510000000000003</v>
      </c>
      <c r="F12">
        <v>1.4729000000000001</v>
      </c>
      <c r="G12">
        <v>1.7054</v>
      </c>
      <c r="N12" s="15"/>
      <c r="U12" s="13"/>
      <c r="V12" s="23"/>
      <c r="Y12" s="11"/>
      <c r="AM12" s="12"/>
      <c r="AV12" s="12"/>
      <c r="BE12" s="12"/>
      <c r="BN12" s="12"/>
      <c r="BW12" s="12"/>
      <c r="CF12" s="12"/>
    </row>
    <row r="13" spans="1:87">
      <c r="A13" s="581" t="s">
        <v>1531</v>
      </c>
      <c r="B13">
        <v>1.3677999999999999</v>
      </c>
      <c r="C13">
        <v>0.30590000000000001</v>
      </c>
      <c r="D13">
        <v>5.2512999999999996</v>
      </c>
      <c r="E13">
        <v>0.67479999999999996</v>
      </c>
      <c r="F13">
        <v>1.4066000000000001</v>
      </c>
      <c r="G13">
        <v>1.782</v>
      </c>
      <c r="N13" s="16"/>
      <c r="U13" s="13"/>
      <c r="V13" s="23"/>
      <c r="Y13" s="11"/>
      <c r="AM13" s="12"/>
      <c r="AV13" s="12"/>
      <c r="BE13" s="12"/>
      <c r="BN13" s="12"/>
      <c r="BW13" s="12"/>
      <c r="CF13" s="12"/>
    </row>
    <row r="14" spans="1:87">
      <c r="A14" s="581" t="s">
        <v>1532</v>
      </c>
      <c r="B14">
        <v>1.3381000000000001</v>
      </c>
      <c r="C14">
        <v>0.31680000000000003</v>
      </c>
      <c r="D14">
        <v>5.2615999999999996</v>
      </c>
      <c r="E14">
        <v>0.91059999999999997</v>
      </c>
      <c r="F14">
        <v>1.3591</v>
      </c>
      <c r="G14">
        <v>1.7473000000000001</v>
      </c>
      <c r="N14" s="16"/>
      <c r="U14" s="13"/>
      <c r="V14" s="23"/>
      <c r="Y14" s="11"/>
      <c r="AM14" s="12"/>
      <c r="AV14" s="12"/>
      <c r="BE14" s="12"/>
      <c r="BN14" s="12"/>
      <c r="BW14" s="12"/>
      <c r="CF14" s="12"/>
    </row>
    <row r="15" spans="1:87">
      <c r="A15" s="581" t="s">
        <v>1533</v>
      </c>
      <c r="B15">
        <v>1.2987</v>
      </c>
      <c r="C15">
        <v>0.25740000000000002</v>
      </c>
      <c r="D15">
        <v>4.9835000000000003</v>
      </c>
      <c r="E15">
        <v>0.56569999999999998</v>
      </c>
      <c r="F15">
        <v>1.3845000000000001</v>
      </c>
      <c r="G15">
        <v>1.6063000000000001</v>
      </c>
      <c r="N15" s="15"/>
      <c r="U15" s="13"/>
      <c r="V15" s="23"/>
      <c r="Y15" s="11"/>
      <c r="AM15" s="12"/>
      <c r="AV15" s="12"/>
    </row>
    <row r="16" spans="1:87">
      <c r="A16" s="581" t="s">
        <v>1534</v>
      </c>
      <c r="B16">
        <v>1.3736999999999999</v>
      </c>
      <c r="C16">
        <v>0.2046</v>
      </c>
      <c r="D16">
        <v>5.3091999999999997</v>
      </c>
      <c r="E16">
        <v>0.35370000000000001</v>
      </c>
      <c r="F16">
        <v>1.7175</v>
      </c>
      <c r="G16">
        <v>1.6680999999999999</v>
      </c>
      <c r="U16" s="13"/>
      <c r="V16" s="23"/>
      <c r="Y16" s="11"/>
      <c r="AM16" s="12"/>
      <c r="AV16" s="12"/>
      <c r="BE16" s="12"/>
      <c r="BN16" s="12"/>
      <c r="BW16" s="12"/>
      <c r="CF16" s="12"/>
    </row>
    <row r="17" spans="1:87">
      <c r="A17" s="581" t="s">
        <v>1535</v>
      </c>
      <c r="B17">
        <v>1.349</v>
      </c>
      <c r="C17">
        <v>0.21690000000000001</v>
      </c>
      <c r="D17">
        <v>5.6677999999999997</v>
      </c>
      <c r="E17">
        <v>0.5222</v>
      </c>
      <c r="F17">
        <v>1.6685000000000001</v>
      </c>
      <c r="G17">
        <v>1.6368</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1.4154</v>
      </c>
      <c r="C18">
        <v>0.38119999999999998</v>
      </c>
      <c r="D18">
        <v>7.9638</v>
      </c>
      <c r="E18">
        <v>0.75039999999999996</v>
      </c>
      <c r="F18">
        <v>1.3621000000000001</v>
      </c>
      <c r="G18">
        <v>1.5399</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1.3669</v>
      </c>
      <c r="C19">
        <v>0.33019999999999999</v>
      </c>
      <c r="D19">
        <v>5.7089999999999996</v>
      </c>
      <c r="E19">
        <v>0.79749999999999999</v>
      </c>
      <c r="F19">
        <v>1.3634999999999999</v>
      </c>
      <c r="G19">
        <v>1.7079</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1.2906</v>
      </c>
      <c r="C20">
        <v>0.19239999999999999</v>
      </c>
      <c r="D20">
        <v>4.5140000000000002</v>
      </c>
      <c r="E20">
        <v>0.42709999999999998</v>
      </c>
      <c r="F20">
        <v>1.5577000000000001</v>
      </c>
      <c r="G20">
        <v>1.6379999999999999</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1.4420999999999999</v>
      </c>
      <c r="C21">
        <v>0.32200000000000001</v>
      </c>
      <c r="D21">
        <v>8.0572999999999997</v>
      </c>
      <c r="E21">
        <v>0.56559999999999999</v>
      </c>
      <c r="F21">
        <v>1.4785999999999999</v>
      </c>
      <c r="G21">
        <v>1.4964</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1.4195</v>
      </c>
      <c r="C22">
        <v>0.48180000000000001</v>
      </c>
      <c r="D22">
        <v>13.5032</v>
      </c>
      <c r="E22">
        <v>0.90349999999999997</v>
      </c>
      <c r="F22">
        <v>1.2771999999999999</v>
      </c>
      <c r="G22">
        <v>1.2867</v>
      </c>
      <c r="K22" s="17"/>
      <c r="L22" s="17"/>
      <c r="M22" s="17"/>
      <c r="N22" s="17"/>
      <c r="O22" s="17"/>
      <c r="P22" s="17"/>
      <c r="U22" s="13"/>
      <c r="V22" s="23"/>
      <c r="Y22" s="11"/>
      <c r="AM22" s="12"/>
      <c r="AV22" s="12"/>
      <c r="BE22" s="12"/>
      <c r="BN22" s="12"/>
      <c r="BW22" s="12"/>
      <c r="CF22" s="12"/>
    </row>
    <row r="23" spans="1:87">
      <c r="A23" s="581" t="s">
        <v>1541</v>
      </c>
      <c r="B23">
        <v>1.3569</v>
      </c>
      <c r="C23">
        <v>0.22339999999999999</v>
      </c>
      <c r="D23">
        <v>4.2446999999999999</v>
      </c>
      <c r="E23">
        <v>0.5292</v>
      </c>
      <c r="F23">
        <v>1.5511999999999999</v>
      </c>
      <c r="G23">
        <v>1.8292999999999999</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1.4999</v>
      </c>
      <c r="C24">
        <v>0.34160000000000001</v>
      </c>
      <c r="D24">
        <v>8.0096000000000007</v>
      </c>
      <c r="E24">
        <v>0.65959999999999996</v>
      </c>
      <c r="F24">
        <v>1.5512999999999999</v>
      </c>
      <c r="G24">
        <v>1.6637</v>
      </c>
      <c r="K24" s="17"/>
      <c r="L24" s="17"/>
      <c r="M24" s="17"/>
      <c r="N24" s="18"/>
      <c r="O24" s="18"/>
      <c r="P24" s="17"/>
      <c r="R24" s="11"/>
      <c r="U24" s="13"/>
      <c r="V24" s="23"/>
      <c r="Y24" s="11"/>
      <c r="AM24" s="12"/>
      <c r="AV24" s="12"/>
      <c r="BE24" s="12"/>
      <c r="BN24" s="12"/>
      <c r="BW24" s="12"/>
      <c r="CF24" s="12"/>
    </row>
    <row r="25" spans="1:87">
      <c r="A25" s="581" t="s">
        <v>1543</v>
      </c>
      <c r="B25">
        <v>1.1016999999999999</v>
      </c>
      <c r="C25">
        <v>7.3499999999999996E-2</v>
      </c>
      <c r="D25">
        <v>1.0268999999999999</v>
      </c>
      <c r="E25">
        <v>0.32540000000000002</v>
      </c>
      <c r="F25">
        <v>1.4496</v>
      </c>
      <c r="G25">
        <v>2.1959</v>
      </c>
      <c r="K25" s="17"/>
      <c r="L25" s="17"/>
      <c r="M25" s="17"/>
      <c r="N25" s="18"/>
      <c r="O25" s="17"/>
      <c r="P25" s="17"/>
      <c r="U25" s="13"/>
      <c r="V25" s="23"/>
      <c r="Y25" s="11"/>
      <c r="AM25" s="12"/>
      <c r="AV25" s="12"/>
      <c r="BE25" s="12"/>
      <c r="BN25" s="12"/>
      <c r="BW25" s="12"/>
      <c r="CF25" s="12"/>
    </row>
    <row r="26" spans="1:87">
      <c r="A26" s="581" t="s">
        <v>1544</v>
      </c>
      <c r="B26">
        <v>1.3561000000000001</v>
      </c>
      <c r="C26">
        <v>0.2064</v>
      </c>
      <c r="D26">
        <v>3.0457999999999998</v>
      </c>
      <c r="E26">
        <v>0.55089999999999995</v>
      </c>
      <c r="F26">
        <v>1.5875999999999999</v>
      </c>
      <c r="G26">
        <v>2.3679000000000001</v>
      </c>
      <c r="Y26" s="11"/>
      <c r="AM26" s="12"/>
      <c r="AV26" s="12"/>
      <c r="BE26" s="12"/>
      <c r="BN26" s="12"/>
      <c r="BW26" s="12"/>
      <c r="CF26" s="12"/>
    </row>
    <row r="27" spans="1:87">
      <c r="A27" s="581" t="s">
        <v>1545</v>
      </c>
      <c r="B27">
        <v>1.3197000000000001</v>
      </c>
      <c r="C27">
        <v>0.2233</v>
      </c>
      <c r="D27">
        <v>4.8144999999999998</v>
      </c>
      <c r="E27">
        <v>0.56179999999999997</v>
      </c>
      <c r="F27">
        <v>1.4982</v>
      </c>
      <c r="G27">
        <v>1.6478999999999999</v>
      </c>
      <c r="M27" s="12"/>
      <c r="Y27" s="11"/>
      <c r="AM27" s="12"/>
      <c r="AV27" s="12"/>
    </row>
    <row r="28" spans="1:87">
      <c r="A28" s="581" t="s">
        <v>1546</v>
      </c>
      <c r="B28">
        <v>1.4186000000000001</v>
      </c>
      <c r="C28">
        <v>0.3493</v>
      </c>
      <c r="D28">
        <v>6.3014999999999999</v>
      </c>
      <c r="E28">
        <v>0.91039999999999999</v>
      </c>
      <c r="F28">
        <v>1.4478</v>
      </c>
      <c r="G28">
        <v>1.8744000000000001</v>
      </c>
      <c r="M28" s="13"/>
      <c r="N28" s="12"/>
      <c r="O28" s="14"/>
      <c r="Q28" s="12"/>
      <c r="Y28" s="11"/>
      <c r="AM28" s="12"/>
      <c r="AV28" s="12"/>
      <c r="BE28" s="12"/>
      <c r="BN28" s="12"/>
      <c r="BW28" s="12"/>
      <c r="CF28" s="12"/>
    </row>
    <row r="29" spans="1:87">
      <c r="A29" s="581" t="s">
        <v>1547</v>
      </c>
      <c r="B29">
        <v>1.4986999999999999</v>
      </c>
      <c r="C29">
        <v>0.41820000000000002</v>
      </c>
      <c r="D29">
        <v>14.074299999999999</v>
      </c>
      <c r="E29">
        <v>0.97319999999999995</v>
      </c>
      <c r="F29">
        <v>1.4034</v>
      </c>
      <c r="G29">
        <v>1.3226</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1.4029</v>
      </c>
      <c r="C30">
        <v>0.30249999999999999</v>
      </c>
      <c r="D30">
        <v>6.3132000000000001</v>
      </c>
      <c r="E30">
        <v>0.67830000000000001</v>
      </c>
      <c r="F30">
        <v>1.5947</v>
      </c>
      <c r="G30">
        <v>2.0390000000000001</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1.4704999999999999</v>
      </c>
      <c r="C31">
        <v>0.31759999999999999</v>
      </c>
      <c r="D31">
        <v>5.6180000000000003</v>
      </c>
      <c r="E31">
        <v>0.70789999999999997</v>
      </c>
      <c r="F31">
        <v>1.6405000000000001</v>
      </c>
      <c r="G31">
        <v>2.2063000000000001</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1.3605</v>
      </c>
      <c r="C32">
        <v>0.25480000000000003</v>
      </c>
      <c r="D32">
        <v>4.4025999999999996</v>
      </c>
      <c r="E32">
        <v>0.63280000000000003</v>
      </c>
      <c r="F32">
        <v>1.6302000000000001</v>
      </c>
      <c r="G32">
        <v>2.4235000000000002</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1.5225</v>
      </c>
      <c r="C33">
        <v>0.42680000000000001</v>
      </c>
      <c r="D33">
        <v>10.136900000000001</v>
      </c>
      <c r="E33">
        <v>0.78539999999999999</v>
      </c>
      <c r="F33">
        <v>1.5015000000000001</v>
      </c>
      <c r="G33">
        <v>1.6327</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1.4507000000000001</v>
      </c>
      <c r="C34">
        <v>0.51319999999999999</v>
      </c>
      <c r="D34">
        <v>15.652900000000001</v>
      </c>
      <c r="E34">
        <v>0.97919999999999996</v>
      </c>
      <c r="F34">
        <v>1.2774000000000001</v>
      </c>
      <c r="G34">
        <v>1.2551000000000001</v>
      </c>
      <c r="K34" s="17"/>
      <c r="L34" s="17"/>
      <c r="M34" s="17"/>
      <c r="N34" s="17"/>
      <c r="O34" s="17"/>
      <c r="P34" s="17"/>
      <c r="Y34" s="11"/>
      <c r="AM34" s="12"/>
      <c r="AV34" s="12"/>
      <c r="BE34" s="12"/>
      <c r="BN34" s="12"/>
      <c r="BW34" s="12"/>
      <c r="CF34" s="12"/>
    </row>
    <row r="35" spans="1:87">
      <c r="A35" s="581" t="s">
        <v>1553</v>
      </c>
      <c r="B35">
        <v>1</v>
      </c>
      <c r="C35">
        <v>0</v>
      </c>
      <c r="D35">
        <v>0</v>
      </c>
      <c r="E35">
        <v>0</v>
      </c>
      <c r="F35">
        <v>0</v>
      </c>
      <c r="G35">
        <v>0</v>
      </c>
      <c r="K35" s="17"/>
      <c r="L35" s="17"/>
      <c r="M35" s="17"/>
      <c r="N35" s="18"/>
      <c r="O35" s="18"/>
      <c r="P35" s="17"/>
      <c r="Y35" s="11"/>
      <c r="AM35" s="12"/>
      <c r="AP35" s="12"/>
      <c r="AV35" s="12"/>
      <c r="AY35" s="12"/>
      <c r="BE35" s="12"/>
      <c r="BH35" s="12"/>
      <c r="BN35" s="12"/>
      <c r="BQ35" s="12"/>
      <c r="BW35" s="12"/>
      <c r="BZ35" s="12"/>
      <c r="CF35" s="12"/>
      <c r="CI35" s="12"/>
    </row>
    <row r="36" spans="1:87">
      <c r="A36" s="581" t="s">
        <v>1554</v>
      </c>
      <c r="B36">
        <v>1.5371999999999999</v>
      </c>
      <c r="C36">
        <v>0.57140000000000002</v>
      </c>
      <c r="D36">
        <v>12.869</v>
      </c>
      <c r="E36">
        <v>1.0283</v>
      </c>
      <c r="F36">
        <v>1.3207</v>
      </c>
      <c r="G36">
        <v>1.4516</v>
      </c>
      <c r="K36" s="17"/>
      <c r="L36" s="17"/>
      <c r="M36" s="17"/>
      <c r="N36" s="18"/>
      <c r="O36" s="18"/>
      <c r="P36" s="17"/>
      <c r="Y36" s="11"/>
      <c r="AM36" s="12"/>
      <c r="AV36" s="12"/>
      <c r="BE36" s="12"/>
      <c r="BN36" s="12"/>
      <c r="BW36" s="12"/>
      <c r="CF36" s="12"/>
    </row>
    <row r="37" spans="1:87">
      <c r="A37" s="581" t="s">
        <v>1555</v>
      </c>
      <c r="B37">
        <v>1.5422</v>
      </c>
      <c r="C37">
        <v>0.52290000000000003</v>
      </c>
      <c r="D37">
        <v>13.550700000000001</v>
      </c>
      <c r="E37">
        <v>1.0714999999999999</v>
      </c>
      <c r="F37">
        <v>1.3379000000000001</v>
      </c>
      <c r="G37">
        <v>1.4011</v>
      </c>
      <c r="K37" s="17"/>
      <c r="L37" s="17"/>
      <c r="M37" s="17"/>
      <c r="N37" s="17"/>
      <c r="O37" s="17"/>
      <c r="P37" s="17"/>
      <c r="Y37" s="11"/>
    </row>
    <row r="38" spans="1:87">
      <c r="A38" s="581" t="s">
        <v>1556</v>
      </c>
      <c r="B38">
        <v>1.4884999999999999</v>
      </c>
      <c r="C38">
        <v>0.3458</v>
      </c>
      <c r="D38">
        <v>6.9353999999999996</v>
      </c>
      <c r="E38">
        <v>0.77090000000000003</v>
      </c>
      <c r="F38">
        <v>1.5688</v>
      </c>
      <c r="G38">
        <v>1.909</v>
      </c>
      <c r="Y38" s="11"/>
    </row>
    <row r="39" spans="1:87">
      <c r="A39" s="581" t="s">
        <v>1557</v>
      </c>
      <c r="B39">
        <v>1.6655</v>
      </c>
      <c r="C39">
        <v>0.28449999999999998</v>
      </c>
      <c r="D39">
        <v>7.4279999999999999</v>
      </c>
      <c r="E39">
        <v>0.97899999999999998</v>
      </c>
      <c r="F39">
        <v>2.0928</v>
      </c>
      <c r="G39">
        <v>2.1114000000000002</v>
      </c>
      <c r="Y39" s="11"/>
    </row>
    <row r="40" spans="1:87">
      <c r="A40" s="581" t="s">
        <v>1558</v>
      </c>
      <c r="B40">
        <v>1.3287</v>
      </c>
      <c r="C40">
        <v>0.33310000000000001</v>
      </c>
      <c r="D40">
        <v>4.6970999999999998</v>
      </c>
      <c r="E40">
        <v>0.57640000000000002</v>
      </c>
      <c r="F40">
        <v>1.3125</v>
      </c>
      <c r="G40">
        <v>1.9678</v>
      </c>
      <c r="N40" s="12"/>
      <c r="O40" s="14"/>
      <c r="Q40" s="12"/>
      <c r="Y40" s="11"/>
    </row>
    <row r="41" spans="1:87">
      <c r="A41" s="581" t="s">
        <v>1559</v>
      </c>
      <c r="B41">
        <v>1.3952</v>
      </c>
      <c r="C41">
        <v>0.22009999999999999</v>
      </c>
      <c r="D41">
        <v>4.0006000000000004</v>
      </c>
      <c r="E41">
        <v>0.81359999999999999</v>
      </c>
      <c r="F41">
        <v>1.7105999999999999</v>
      </c>
      <c r="G41">
        <v>2.3031999999999999</v>
      </c>
      <c r="N41" s="12"/>
      <c r="O41" s="14"/>
      <c r="Q41" s="12"/>
      <c r="Y41" s="11"/>
    </row>
    <row r="42" spans="1:87">
      <c r="A42" s="581" t="s">
        <v>1560</v>
      </c>
      <c r="B42">
        <v>1.4550000000000001</v>
      </c>
      <c r="C42">
        <v>0.26379999999999998</v>
      </c>
      <c r="D42">
        <v>5.0392999999999999</v>
      </c>
      <c r="E42">
        <v>0.76100000000000001</v>
      </c>
      <c r="F42">
        <v>1.7665</v>
      </c>
      <c r="G42">
        <v>2.5895999999999999</v>
      </c>
      <c r="Y42" s="11"/>
    </row>
    <row r="43" spans="1:87">
      <c r="A43" s="581" t="s">
        <v>1561</v>
      </c>
      <c r="B43">
        <v>1.4487000000000001</v>
      </c>
      <c r="C43">
        <v>0.2515</v>
      </c>
      <c r="D43">
        <v>5.1416000000000004</v>
      </c>
      <c r="E43">
        <v>0.84019999999999995</v>
      </c>
      <c r="F43">
        <v>1.7397</v>
      </c>
      <c r="G43">
        <v>2.1877</v>
      </c>
      <c r="Q43" s="12"/>
      <c r="Y43" s="11"/>
    </row>
    <row r="44" spans="1:87">
      <c r="A44" s="581" t="s">
        <v>1562</v>
      </c>
      <c r="B44">
        <v>1.5959000000000001</v>
      </c>
      <c r="C44">
        <v>0.35809999999999997</v>
      </c>
      <c r="D44">
        <v>7.4292999999999996</v>
      </c>
      <c r="E44">
        <v>0.72809999999999997</v>
      </c>
      <c r="F44">
        <v>1.6402000000000001</v>
      </c>
      <c r="G44">
        <v>1.9939</v>
      </c>
      <c r="Y44" s="11"/>
    </row>
    <row r="45" spans="1:87">
      <c r="A45" s="581" t="s">
        <v>1563</v>
      </c>
      <c r="B45">
        <v>1.5395000000000001</v>
      </c>
      <c r="C45">
        <v>0.45700000000000002</v>
      </c>
      <c r="D45">
        <v>8.2332000000000001</v>
      </c>
      <c r="E45">
        <v>0.98950000000000005</v>
      </c>
      <c r="F45">
        <v>1.4473</v>
      </c>
      <c r="G45">
        <v>1.784</v>
      </c>
      <c r="Q45" s="12"/>
      <c r="Y45" s="11"/>
    </row>
    <row r="46" spans="1:87">
      <c r="A46" s="581" t="s">
        <v>1564</v>
      </c>
      <c r="B46">
        <v>1.3186</v>
      </c>
      <c r="C46">
        <v>0.18260000000000001</v>
      </c>
      <c r="D46">
        <v>8.3148</v>
      </c>
      <c r="E46">
        <v>0.59860000000000002</v>
      </c>
      <c r="F46">
        <v>1.6319999999999999</v>
      </c>
      <c r="G46">
        <v>1.2625999999999999</v>
      </c>
      <c r="Q46" s="16"/>
      <c r="Y46" s="11"/>
    </row>
    <row r="47" spans="1:87">
      <c r="A47" s="581" t="s">
        <v>1565</v>
      </c>
      <c r="B47">
        <v>1.3333999999999999</v>
      </c>
      <c r="C47">
        <v>0.13830000000000001</v>
      </c>
      <c r="D47">
        <v>7.5885999999999996</v>
      </c>
      <c r="E47">
        <v>0.89910000000000001</v>
      </c>
      <c r="F47">
        <v>2.0146999999999999</v>
      </c>
      <c r="G47">
        <v>1.3467</v>
      </c>
      <c r="Q47" s="16"/>
      <c r="Y47" s="11"/>
    </row>
    <row r="48" spans="1:87">
      <c r="A48" s="581" t="s">
        <v>1566</v>
      </c>
      <c r="B48">
        <v>1.4711000000000001</v>
      </c>
      <c r="C48">
        <v>0.3972</v>
      </c>
      <c r="D48">
        <v>7.2519999999999998</v>
      </c>
      <c r="E48">
        <v>1.0232000000000001</v>
      </c>
      <c r="F48">
        <v>1.4031</v>
      </c>
      <c r="G48">
        <v>1.7770999999999999</v>
      </c>
      <c r="Y48" s="11"/>
    </row>
    <row r="49" spans="1:25">
      <c r="A49" s="581" t="s">
        <v>1567</v>
      </c>
      <c r="B49">
        <v>1.5282</v>
      </c>
      <c r="C49">
        <v>0.52190000000000003</v>
      </c>
      <c r="D49">
        <v>9.4437999999999995</v>
      </c>
      <c r="E49">
        <v>1.0443</v>
      </c>
      <c r="F49">
        <v>1.3331</v>
      </c>
      <c r="G49">
        <v>1.6715</v>
      </c>
      <c r="Y49" s="11"/>
    </row>
    <row r="50" spans="1:25">
      <c r="A50" s="581" t="s">
        <v>1568</v>
      </c>
      <c r="B50">
        <v>1.6194999999999999</v>
      </c>
      <c r="C50">
        <v>0.61539999999999995</v>
      </c>
      <c r="D50">
        <v>8.5655000000000001</v>
      </c>
      <c r="E50">
        <v>1.0355000000000001</v>
      </c>
      <c r="F50">
        <v>1.3351999999999999</v>
      </c>
      <c r="G50">
        <v>2.0041000000000002</v>
      </c>
      <c r="Y50" s="11"/>
    </row>
    <row r="51" spans="1:25">
      <c r="A51" s="581" t="s">
        <v>1569</v>
      </c>
      <c r="B51">
        <v>1.5150999999999999</v>
      </c>
      <c r="C51">
        <v>0.47070000000000001</v>
      </c>
      <c r="D51">
        <v>16.579000000000001</v>
      </c>
      <c r="E51">
        <v>0.99070000000000003</v>
      </c>
      <c r="F51">
        <v>1.3726</v>
      </c>
      <c r="G51">
        <v>1.2850999999999999</v>
      </c>
      <c r="Y51" s="11"/>
    </row>
    <row r="52" spans="1:25">
      <c r="A52" s="581" t="s">
        <v>1570</v>
      </c>
      <c r="B52">
        <v>1.5925</v>
      </c>
      <c r="C52">
        <v>0.42270000000000002</v>
      </c>
      <c r="D52">
        <v>8.3201999999999998</v>
      </c>
      <c r="E52">
        <v>0.87080000000000002</v>
      </c>
      <c r="F52">
        <v>1.5643</v>
      </c>
      <c r="G52">
        <v>1.9078999999999999</v>
      </c>
      <c r="Y52" s="11"/>
    </row>
    <row r="53" spans="1:25">
      <c r="A53" s="581" t="s">
        <v>1571</v>
      </c>
      <c r="B53">
        <v>1.6449</v>
      </c>
      <c r="C53">
        <v>0.58599999999999997</v>
      </c>
      <c r="D53">
        <v>19.213699999999999</v>
      </c>
      <c r="E53">
        <v>1.0581</v>
      </c>
      <c r="F53">
        <v>1.3319000000000001</v>
      </c>
      <c r="G53">
        <v>1.2996000000000001</v>
      </c>
      <c r="K53" s="17"/>
      <c r="N53" s="17"/>
      <c r="O53" s="17"/>
      <c r="P53" s="17"/>
      <c r="Y53" s="11"/>
    </row>
    <row r="54" spans="1:25">
      <c r="A54" s="581" t="s">
        <v>1572</v>
      </c>
      <c r="B54">
        <v>1.6041000000000001</v>
      </c>
      <c r="C54">
        <v>0.56310000000000004</v>
      </c>
      <c r="D54">
        <v>10.9518</v>
      </c>
      <c r="E54">
        <v>1.0638000000000001</v>
      </c>
      <c r="F54">
        <v>1.3660000000000001</v>
      </c>
      <c r="G54">
        <v>1.6356999999999999</v>
      </c>
      <c r="K54" s="17"/>
      <c r="N54" s="12"/>
      <c r="O54" s="12"/>
      <c r="Y54" s="11"/>
    </row>
    <row r="55" spans="1:25">
      <c r="A55" s="581" t="s">
        <v>1573</v>
      </c>
      <c r="B55">
        <v>1.6515</v>
      </c>
      <c r="C55">
        <v>0.47720000000000001</v>
      </c>
      <c r="D55">
        <v>10.3117</v>
      </c>
      <c r="E55">
        <v>0.94920000000000004</v>
      </c>
      <c r="F55">
        <v>1.4279999999999999</v>
      </c>
      <c r="G55">
        <v>1.7423</v>
      </c>
      <c r="K55" s="17"/>
      <c r="N55" s="12"/>
      <c r="O55" s="12"/>
      <c r="Y55" s="11"/>
    </row>
    <row r="56" spans="1:25">
      <c r="A56" s="581" t="s">
        <v>1574</v>
      </c>
      <c r="B56">
        <v>1.5919000000000001</v>
      </c>
      <c r="C56">
        <v>0.55969999999999998</v>
      </c>
      <c r="D56">
        <v>17.918900000000001</v>
      </c>
      <c r="E56">
        <v>1.0478000000000001</v>
      </c>
      <c r="F56">
        <v>1.3309</v>
      </c>
      <c r="G56">
        <v>1.3049999999999999</v>
      </c>
      <c r="K56" s="17"/>
      <c r="Y56" s="11"/>
    </row>
    <row r="57" spans="1:25">
      <c r="A57" s="581" t="s">
        <v>1575</v>
      </c>
      <c r="B57">
        <v>1.6537999999999999</v>
      </c>
      <c r="C57">
        <v>0.60629999999999995</v>
      </c>
      <c r="D57">
        <v>25.004300000000001</v>
      </c>
      <c r="E57">
        <v>1.0470999999999999</v>
      </c>
      <c r="F57">
        <v>1.3431999999999999</v>
      </c>
      <c r="G57">
        <v>1.2258</v>
      </c>
      <c r="Y57" s="11"/>
    </row>
    <row r="58" spans="1:25">
      <c r="A58" s="581" t="s">
        <v>1576</v>
      </c>
      <c r="B58">
        <v>1.5541</v>
      </c>
      <c r="C58">
        <v>0.46379999999999999</v>
      </c>
      <c r="D58">
        <v>15.8714</v>
      </c>
      <c r="E58">
        <v>0.94589999999999996</v>
      </c>
      <c r="F58">
        <v>1.4132</v>
      </c>
      <c r="G58">
        <v>1.3351</v>
      </c>
      <c r="Y58" s="11"/>
    </row>
    <row r="59" spans="1:25">
      <c r="A59" s="581" t="s">
        <v>1577</v>
      </c>
      <c r="B59">
        <v>1.4630000000000001</v>
      </c>
      <c r="C59">
        <v>0.38640000000000002</v>
      </c>
      <c r="D59">
        <v>18.8446</v>
      </c>
      <c r="E59">
        <v>0.93730000000000002</v>
      </c>
      <c r="F59">
        <v>1.41</v>
      </c>
      <c r="G59">
        <v>1.2028000000000001</v>
      </c>
      <c r="N59" s="12"/>
      <c r="O59" s="14"/>
      <c r="Q59" s="12"/>
      <c r="Y59" s="11"/>
    </row>
    <row r="60" spans="1:25">
      <c r="A60" s="581" t="s">
        <v>1578</v>
      </c>
      <c r="B60">
        <v>1.5702</v>
      </c>
      <c r="C60">
        <v>0.39300000000000002</v>
      </c>
      <c r="D60">
        <v>11.399100000000001</v>
      </c>
      <c r="E60">
        <v>0.89480000000000004</v>
      </c>
      <c r="F60">
        <v>1.5851999999999999</v>
      </c>
      <c r="G60">
        <v>1.5421</v>
      </c>
      <c r="N60" s="12"/>
      <c r="O60" s="14"/>
      <c r="Q60" s="12"/>
      <c r="Y60" s="11"/>
    </row>
    <row r="61" spans="1:25">
      <c r="A61" s="581" t="s">
        <v>1579</v>
      </c>
      <c r="B61">
        <v>1.4957</v>
      </c>
      <c r="C61">
        <v>0.40699999999999997</v>
      </c>
      <c r="D61">
        <v>18.4025</v>
      </c>
      <c r="E61">
        <v>0.8458</v>
      </c>
      <c r="F61">
        <v>1.4076</v>
      </c>
      <c r="G61">
        <v>1.2209000000000001</v>
      </c>
      <c r="Y61" s="11"/>
    </row>
    <row r="62" spans="1:25">
      <c r="A62" s="581" t="s">
        <v>1580</v>
      </c>
      <c r="B62">
        <v>1.6725000000000001</v>
      </c>
      <c r="C62">
        <v>0.49619999999999997</v>
      </c>
      <c r="D62">
        <v>12.957700000000001</v>
      </c>
      <c r="E62">
        <v>0.96789999999999998</v>
      </c>
      <c r="F62">
        <v>1.5004999999999999</v>
      </c>
      <c r="G62">
        <v>1.5267999999999999</v>
      </c>
      <c r="Q62" s="12"/>
      <c r="Y62" s="11"/>
    </row>
    <row r="63" spans="1:25">
      <c r="A63" s="581" t="s">
        <v>1581</v>
      </c>
      <c r="B63">
        <v>0.85970000000000002</v>
      </c>
      <c r="C63">
        <v>0.2127</v>
      </c>
      <c r="D63">
        <v>6.4480000000000004</v>
      </c>
      <c r="E63">
        <v>0.53790000000000004</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sheetPr codeName="Sheet32">
    <tabColor rgb="FFFFFF00"/>
  </sheetPr>
  <dimension ref="A1:CX120"/>
  <sheetViews>
    <sheetView zoomScale="70" zoomScaleNormal="70" workbookViewId="0">
      <selection activeCell="J12" sqref="J12"/>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1.4226000000000001</v>
      </c>
      <c r="C2">
        <v>0.31040000000000001</v>
      </c>
      <c r="D2">
        <v>15.2966</v>
      </c>
      <c r="E2">
        <v>0.65100000000000002</v>
      </c>
      <c r="F2">
        <v>1.2242</v>
      </c>
      <c r="G2">
        <v>1.1225000000000001</v>
      </c>
    </row>
    <row r="3" spans="1:87">
      <c r="A3" s="581" t="s">
        <v>1521</v>
      </c>
      <c r="B3">
        <v>1.6986000000000001</v>
      </c>
      <c r="C3">
        <v>0.62770000000000004</v>
      </c>
      <c r="D3">
        <v>30.1341</v>
      </c>
      <c r="E3">
        <v>1.0201</v>
      </c>
      <c r="F3">
        <v>1.1684000000000001</v>
      </c>
      <c r="G3">
        <v>1.0888</v>
      </c>
    </row>
    <row r="4" spans="1:87">
      <c r="A4" s="581" t="s">
        <v>1522</v>
      </c>
      <c r="B4">
        <v>1</v>
      </c>
      <c r="C4">
        <v>0</v>
      </c>
      <c r="D4">
        <v>0</v>
      </c>
      <c r="E4">
        <v>0</v>
      </c>
      <c r="F4">
        <v>0</v>
      </c>
      <c r="G4">
        <v>0</v>
      </c>
      <c r="N4" s="17"/>
      <c r="U4" s="21"/>
      <c r="X4" s="21"/>
    </row>
    <row r="5" spans="1:87">
      <c r="A5" s="581" t="s">
        <v>1523</v>
      </c>
      <c r="B5">
        <v>1.2699</v>
      </c>
      <c r="C5">
        <v>8.9800000000000005E-2</v>
      </c>
      <c r="D5">
        <v>1.7637</v>
      </c>
      <c r="E5">
        <v>0.73740000000000006</v>
      </c>
      <c r="F5">
        <v>1.548</v>
      </c>
      <c r="G5">
        <v>1.6836</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1.6434</v>
      </c>
      <c r="C6">
        <v>0.2336</v>
      </c>
      <c r="D6">
        <v>5.3453999999999997</v>
      </c>
      <c r="E6">
        <v>0.7772</v>
      </c>
      <c r="F6">
        <v>1.4944999999999999</v>
      </c>
      <c r="G6">
        <v>1.4626999999999999</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1.1183000000000001</v>
      </c>
      <c r="C7">
        <v>6.93E-2</v>
      </c>
      <c r="D7">
        <v>0.93769999999999998</v>
      </c>
      <c r="E7">
        <v>0.76439999999999997</v>
      </c>
      <c r="F7">
        <v>1.3245</v>
      </c>
      <c r="G7">
        <v>1.8501000000000001</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1.5875999999999999</v>
      </c>
      <c r="C8">
        <v>0.2414</v>
      </c>
      <c r="D8">
        <v>5.0359999999999996</v>
      </c>
      <c r="E8">
        <v>0.86129999999999995</v>
      </c>
      <c r="F8">
        <v>1.4782999999999999</v>
      </c>
      <c r="G8">
        <v>1.6017999999999999</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1.6351</v>
      </c>
      <c r="C9">
        <v>0.17860000000000001</v>
      </c>
      <c r="D9">
        <v>4.5437000000000003</v>
      </c>
      <c r="E9">
        <v>0.71399999999999997</v>
      </c>
      <c r="F9">
        <v>1.865</v>
      </c>
      <c r="G9">
        <v>1.7826</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1.5468999999999999</v>
      </c>
      <c r="C10">
        <v>0.17419999999999999</v>
      </c>
      <c r="D10">
        <v>3.6753999999999998</v>
      </c>
      <c r="E10">
        <v>0.70350000000000001</v>
      </c>
      <c r="F10">
        <v>1.6216999999999999</v>
      </c>
      <c r="G10">
        <v>1.7034</v>
      </c>
      <c r="U10" s="13"/>
      <c r="V10" s="23"/>
      <c r="W10" s="26"/>
      <c r="Y10" s="11"/>
      <c r="AM10" s="12"/>
      <c r="AV10" s="12"/>
      <c r="BE10" s="12"/>
      <c r="BN10" s="12"/>
      <c r="BW10" s="12"/>
      <c r="CF10" s="12"/>
    </row>
    <row r="11" spans="1:87">
      <c r="A11" s="581" t="s">
        <v>1529</v>
      </c>
      <c r="B11">
        <v>1.5656000000000001</v>
      </c>
      <c r="C11">
        <v>0.1472</v>
      </c>
      <c r="D11">
        <v>3.4615</v>
      </c>
      <c r="E11">
        <v>0.4637</v>
      </c>
      <c r="F11">
        <v>1.7695000000000001</v>
      </c>
      <c r="G11">
        <v>1.7387999999999999</v>
      </c>
      <c r="U11" s="13"/>
      <c r="V11" s="23"/>
      <c r="Y11" s="11"/>
      <c r="AM11" s="12"/>
      <c r="AP11" s="12"/>
      <c r="AV11" s="12"/>
      <c r="AY11" s="12"/>
      <c r="BE11" s="12"/>
      <c r="BH11" s="12"/>
      <c r="BN11" s="12"/>
      <c r="BQ11" s="12"/>
      <c r="BW11" s="12"/>
      <c r="BZ11" s="12"/>
      <c r="CF11" s="12"/>
      <c r="CI11" s="12"/>
    </row>
    <row r="12" spans="1:87">
      <c r="A12" s="581" t="s">
        <v>1530</v>
      </c>
      <c r="B12">
        <v>1.5740000000000001</v>
      </c>
      <c r="C12">
        <v>0.1759</v>
      </c>
      <c r="D12">
        <v>3.4883000000000002</v>
      </c>
      <c r="E12">
        <v>0.73760000000000003</v>
      </c>
      <c r="F12">
        <v>1.6424000000000001</v>
      </c>
      <c r="G12">
        <v>1.8440000000000001</v>
      </c>
      <c r="N12" s="15"/>
      <c r="U12" s="13"/>
      <c r="V12" s="23"/>
      <c r="Y12" s="11"/>
      <c r="AM12" s="12"/>
      <c r="AV12" s="12"/>
      <c r="BE12" s="12"/>
      <c r="BN12" s="12"/>
      <c r="BW12" s="12"/>
      <c r="CF12" s="12"/>
    </row>
    <row r="13" spans="1:87">
      <c r="A13" s="581" t="s">
        <v>1531</v>
      </c>
      <c r="B13">
        <v>1.5562</v>
      </c>
      <c r="C13">
        <v>0.20610000000000001</v>
      </c>
      <c r="D13">
        <v>3.3961000000000001</v>
      </c>
      <c r="E13">
        <v>0.76670000000000005</v>
      </c>
      <c r="F13">
        <v>1.4893000000000001</v>
      </c>
      <c r="G13">
        <v>1.8112999999999999</v>
      </c>
      <c r="N13" s="16"/>
      <c r="U13" s="13"/>
      <c r="V13" s="23"/>
      <c r="Y13" s="11"/>
      <c r="AM13" s="12"/>
      <c r="AV13" s="12"/>
      <c r="BE13" s="12"/>
      <c r="BN13" s="12"/>
      <c r="BW13" s="12"/>
      <c r="CF13" s="12"/>
    </row>
    <row r="14" spans="1:87">
      <c r="A14" s="581" t="s">
        <v>1532</v>
      </c>
      <c r="B14">
        <v>1.3649</v>
      </c>
      <c r="C14">
        <v>0.21340000000000001</v>
      </c>
      <c r="D14">
        <v>3.2835999999999999</v>
      </c>
      <c r="E14">
        <v>0.92559999999999998</v>
      </c>
      <c r="F14">
        <v>1.2905</v>
      </c>
      <c r="G14">
        <v>1.5366</v>
      </c>
      <c r="N14" s="16"/>
      <c r="U14" s="13"/>
      <c r="V14" s="23"/>
      <c r="Y14" s="11"/>
      <c r="AM14" s="12"/>
      <c r="AV14" s="12"/>
      <c r="BE14" s="12"/>
      <c r="BN14" s="12"/>
      <c r="BW14" s="12"/>
      <c r="CF14" s="12"/>
    </row>
    <row r="15" spans="1:87">
      <c r="A15" s="581" t="s">
        <v>1533</v>
      </c>
      <c r="B15">
        <v>1.5678000000000001</v>
      </c>
      <c r="C15">
        <v>0.14319999999999999</v>
      </c>
      <c r="D15">
        <v>2.7378</v>
      </c>
      <c r="E15">
        <v>0.69120000000000004</v>
      </c>
      <c r="F15">
        <v>1.8143</v>
      </c>
      <c r="G15">
        <v>2.0773999999999999</v>
      </c>
      <c r="N15" s="15"/>
      <c r="U15" s="13"/>
      <c r="V15" s="23"/>
      <c r="Y15" s="11"/>
      <c r="AM15" s="12"/>
      <c r="AV15" s="12"/>
    </row>
    <row r="16" spans="1:87">
      <c r="A16" s="581" t="s">
        <v>1534</v>
      </c>
      <c r="B16">
        <v>1.7137</v>
      </c>
      <c r="C16">
        <v>0.12379999999999999</v>
      </c>
      <c r="D16">
        <v>2.8477999999999999</v>
      </c>
      <c r="E16">
        <v>0.51959999999999995</v>
      </c>
      <c r="F16">
        <v>2.9748999999999999</v>
      </c>
      <c r="G16">
        <v>2.5600999999999998</v>
      </c>
      <c r="U16" s="13"/>
      <c r="V16" s="23"/>
      <c r="Y16" s="11"/>
      <c r="AM16" s="12"/>
      <c r="AV16" s="12"/>
      <c r="BE16" s="12"/>
      <c r="BN16" s="12"/>
      <c r="BW16" s="12"/>
      <c r="CF16" s="12"/>
    </row>
    <row r="17" spans="1:87">
      <c r="A17" s="581" t="s">
        <v>1535</v>
      </c>
      <c r="B17">
        <v>1.6411</v>
      </c>
      <c r="C17">
        <v>0.1198</v>
      </c>
      <c r="D17">
        <v>2.7490000000000001</v>
      </c>
      <c r="E17">
        <v>0.68379999999999996</v>
      </c>
      <c r="F17">
        <v>2.8769999999999998</v>
      </c>
      <c r="G17">
        <v>2.4792999999999998</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1.5431999999999999</v>
      </c>
      <c r="C18">
        <v>0.22020000000000001</v>
      </c>
      <c r="D18">
        <v>4.4288999999999996</v>
      </c>
      <c r="E18">
        <v>0.79979999999999996</v>
      </c>
      <c r="F18">
        <v>1.4517</v>
      </c>
      <c r="G18">
        <v>1.5799000000000001</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1.4907999999999999</v>
      </c>
      <c r="C19">
        <v>0.16239999999999999</v>
      </c>
      <c r="D19">
        <v>2.7545000000000002</v>
      </c>
      <c r="E19">
        <v>0.85650000000000004</v>
      </c>
      <c r="F19">
        <v>1.5907</v>
      </c>
      <c r="G19">
        <v>1.9547000000000001</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1.5946</v>
      </c>
      <c r="C20">
        <v>0.1245</v>
      </c>
      <c r="D20">
        <v>2.7881</v>
      </c>
      <c r="E20">
        <v>0.56950000000000001</v>
      </c>
      <c r="F20">
        <v>2.1474000000000002</v>
      </c>
      <c r="G20">
        <v>2.1560000000000001</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1.5222</v>
      </c>
      <c r="C21">
        <v>0.16470000000000001</v>
      </c>
      <c r="D21">
        <v>3.9567000000000001</v>
      </c>
      <c r="E21">
        <v>0.59840000000000004</v>
      </c>
      <c r="F21">
        <v>1.6029</v>
      </c>
      <c r="G21">
        <v>1.5571999999999999</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1.5604</v>
      </c>
      <c r="C22">
        <v>0.28239999999999998</v>
      </c>
      <c r="D22">
        <v>7.6725000000000003</v>
      </c>
      <c r="E22">
        <v>0.96240000000000003</v>
      </c>
      <c r="F22">
        <v>1.343</v>
      </c>
      <c r="G22">
        <v>1.3113999999999999</v>
      </c>
      <c r="K22" s="17"/>
      <c r="L22" s="17"/>
      <c r="M22" s="17"/>
      <c r="N22" s="17"/>
      <c r="O22" s="17"/>
      <c r="P22" s="17"/>
      <c r="U22" s="13"/>
      <c r="V22" s="23"/>
      <c r="Y22" s="11"/>
      <c r="AM22" s="12"/>
      <c r="AV22" s="12"/>
      <c r="BE22" s="12"/>
      <c r="BN22" s="12"/>
      <c r="BW22" s="12"/>
      <c r="CF22" s="12"/>
    </row>
    <row r="23" spans="1:87">
      <c r="A23" s="581" t="s">
        <v>1541</v>
      </c>
      <c r="B23">
        <v>1.5044999999999999</v>
      </c>
      <c r="C23">
        <v>0.14649999999999999</v>
      </c>
      <c r="D23">
        <v>2.7019000000000002</v>
      </c>
      <c r="E23">
        <v>0.61229999999999996</v>
      </c>
      <c r="F23">
        <v>1.6659999999999999</v>
      </c>
      <c r="G23">
        <v>1.9077999999999999</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1.6003000000000001</v>
      </c>
      <c r="C24">
        <v>0.16739999999999999</v>
      </c>
      <c r="D24">
        <v>3.8</v>
      </c>
      <c r="E24">
        <v>0.70589999999999997</v>
      </c>
      <c r="F24">
        <v>1.8318000000000001</v>
      </c>
      <c r="G24">
        <v>1.9024000000000001</v>
      </c>
      <c r="K24" s="17"/>
      <c r="L24" s="17"/>
      <c r="M24" s="17"/>
      <c r="N24" s="18"/>
      <c r="O24" s="18"/>
      <c r="P24" s="17"/>
      <c r="R24" s="11"/>
      <c r="U24" s="13"/>
      <c r="V24" s="23"/>
      <c r="Y24" s="11"/>
      <c r="AM24" s="12"/>
      <c r="AV24" s="12"/>
      <c r="BE24" s="12"/>
      <c r="BN24" s="12"/>
      <c r="BW24" s="12"/>
      <c r="CF24" s="12"/>
    </row>
    <row r="25" spans="1:87">
      <c r="A25" s="581" t="s">
        <v>1543</v>
      </c>
      <c r="B25">
        <v>1.1226</v>
      </c>
      <c r="C25">
        <v>6.3299999999999995E-2</v>
      </c>
      <c r="D25">
        <v>0.79700000000000004</v>
      </c>
      <c r="E25">
        <v>0.33550000000000002</v>
      </c>
      <c r="F25">
        <v>1.2939000000000001</v>
      </c>
      <c r="G25">
        <v>1.7663</v>
      </c>
      <c r="K25" s="17"/>
      <c r="L25" s="17"/>
      <c r="M25" s="17"/>
      <c r="N25" s="18"/>
      <c r="O25" s="17"/>
      <c r="P25" s="17"/>
      <c r="U25" s="13"/>
      <c r="V25" s="23"/>
      <c r="Y25" s="11"/>
      <c r="AM25" s="12"/>
      <c r="AV25" s="12"/>
      <c r="BE25" s="12"/>
      <c r="BN25" s="12"/>
      <c r="BW25" s="12"/>
      <c r="CF25" s="12"/>
    </row>
    <row r="26" spans="1:87">
      <c r="A26" s="581" t="s">
        <v>1544</v>
      </c>
      <c r="B26">
        <v>1.391</v>
      </c>
      <c r="C26">
        <v>8.6499999999999994E-2</v>
      </c>
      <c r="D26">
        <v>1.2806999999999999</v>
      </c>
      <c r="E26">
        <v>0.56869999999999998</v>
      </c>
      <c r="F26">
        <v>1.9115</v>
      </c>
      <c r="G26">
        <v>2.8601999999999999</v>
      </c>
      <c r="Y26" s="11"/>
      <c r="AM26" s="12"/>
      <c r="AV26" s="12"/>
      <c r="BE26" s="12"/>
      <c r="BN26" s="12"/>
      <c r="BW26" s="12"/>
      <c r="CF26" s="12"/>
    </row>
    <row r="27" spans="1:87">
      <c r="A27" s="581" t="s">
        <v>1545</v>
      </c>
      <c r="B27">
        <v>1.6017999999999999</v>
      </c>
      <c r="C27">
        <v>0.16719999999999999</v>
      </c>
      <c r="D27">
        <v>3.4198</v>
      </c>
      <c r="E27">
        <v>0.68930000000000002</v>
      </c>
      <c r="F27">
        <v>1.6392</v>
      </c>
      <c r="G27">
        <v>1.7103999999999999</v>
      </c>
      <c r="M27" s="12"/>
      <c r="Y27" s="11"/>
      <c r="AM27" s="12"/>
      <c r="AV27" s="12"/>
    </row>
    <row r="28" spans="1:87">
      <c r="A28" s="581" t="s">
        <v>1546</v>
      </c>
      <c r="B28">
        <v>1.4141999999999999</v>
      </c>
      <c r="C28">
        <v>0.16259999999999999</v>
      </c>
      <c r="D28">
        <v>2.9222999999999999</v>
      </c>
      <c r="E28">
        <v>0.90339999999999998</v>
      </c>
      <c r="F28">
        <v>1.5623</v>
      </c>
      <c r="G28">
        <v>2.0148000000000001</v>
      </c>
      <c r="M28" s="13"/>
      <c r="N28" s="12"/>
      <c r="O28" s="14"/>
      <c r="Q28" s="12"/>
      <c r="Y28" s="11"/>
      <c r="AM28" s="12"/>
      <c r="AV28" s="12"/>
      <c r="BE28" s="12"/>
      <c r="BN28" s="12"/>
      <c r="BW28" s="12"/>
      <c r="CF28" s="12"/>
    </row>
    <row r="29" spans="1:87">
      <c r="A29" s="581" t="s">
        <v>1547</v>
      </c>
      <c r="B29">
        <v>1.4460999999999999</v>
      </c>
      <c r="C29">
        <v>0.2059</v>
      </c>
      <c r="D29">
        <v>6.8274999999999997</v>
      </c>
      <c r="E29">
        <v>0.93530000000000002</v>
      </c>
      <c r="F29">
        <v>1.411</v>
      </c>
      <c r="G29">
        <v>1.31</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1.3366</v>
      </c>
      <c r="C30">
        <v>0.16739999999999999</v>
      </c>
      <c r="D30">
        <v>3.3567</v>
      </c>
      <c r="E30">
        <v>0.63300000000000001</v>
      </c>
      <c r="F30">
        <v>1.4608000000000001</v>
      </c>
      <c r="G30">
        <v>1.7948</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1.6136999999999999</v>
      </c>
      <c r="C31">
        <v>0.2747</v>
      </c>
      <c r="D31">
        <v>4.5087000000000002</v>
      </c>
      <c r="E31">
        <v>0.79379999999999995</v>
      </c>
      <c r="F31">
        <v>1.4191</v>
      </c>
      <c r="G31">
        <v>1.7706</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1.321</v>
      </c>
      <c r="C32">
        <v>0.14949999999999999</v>
      </c>
      <c r="D32">
        <v>2.4047000000000001</v>
      </c>
      <c r="E32">
        <v>0.60140000000000005</v>
      </c>
      <c r="F32">
        <v>1.4950000000000001</v>
      </c>
      <c r="G32">
        <v>2.0693000000000001</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1.4502999999999999</v>
      </c>
      <c r="C33">
        <v>0.2009</v>
      </c>
      <c r="D33">
        <v>4.7678000000000003</v>
      </c>
      <c r="E33">
        <v>0.73709999999999998</v>
      </c>
      <c r="F33">
        <v>1.5626</v>
      </c>
      <c r="G33">
        <v>1.6981999999999999</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1.4453</v>
      </c>
      <c r="C34">
        <v>0.3805</v>
      </c>
      <c r="D34">
        <v>11.5395</v>
      </c>
      <c r="E34">
        <v>0.97330000000000005</v>
      </c>
      <c r="F34">
        <v>1.1937</v>
      </c>
      <c r="G34">
        <v>1.1662999999999999</v>
      </c>
      <c r="K34" s="17"/>
      <c r="L34" s="17"/>
      <c r="M34" s="17"/>
      <c r="N34" s="17"/>
      <c r="O34" s="17"/>
      <c r="P34" s="17"/>
      <c r="Y34" s="11"/>
      <c r="AM34" s="12"/>
      <c r="AV34" s="12"/>
      <c r="BE34" s="12"/>
      <c r="BN34" s="12"/>
      <c r="BW34" s="12"/>
      <c r="CF34" s="12"/>
    </row>
    <row r="35" spans="1:87">
      <c r="A35" s="581" t="s">
        <v>1553</v>
      </c>
      <c r="B35">
        <v>1</v>
      </c>
      <c r="C35">
        <v>0</v>
      </c>
      <c r="D35">
        <v>0</v>
      </c>
      <c r="E35">
        <v>0</v>
      </c>
      <c r="F35">
        <v>0</v>
      </c>
      <c r="G35">
        <v>0</v>
      </c>
      <c r="K35" s="17"/>
      <c r="L35" s="17"/>
      <c r="M35" s="17"/>
      <c r="N35" s="18"/>
      <c r="O35" s="18"/>
      <c r="P35" s="17"/>
      <c r="Y35" s="11"/>
      <c r="AM35" s="12"/>
      <c r="AP35" s="12"/>
      <c r="AV35" s="12"/>
      <c r="AY35" s="12"/>
      <c r="BE35" s="12"/>
      <c r="BH35" s="12"/>
      <c r="BN35" s="12"/>
      <c r="BQ35" s="12"/>
      <c r="BW35" s="12"/>
      <c r="BZ35" s="12"/>
      <c r="CF35" s="12"/>
      <c r="CI35" s="12"/>
    </row>
    <row r="36" spans="1:87">
      <c r="A36" s="581" t="s">
        <v>1554</v>
      </c>
      <c r="B36">
        <v>1.4477</v>
      </c>
      <c r="C36">
        <v>0.38940000000000002</v>
      </c>
      <c r="D36">
        <v>8.5014000000000003</v>
      </c>
      <c r="E36">
        <v>0.96709999999999996</v>
      </c>
      <c r="F36">
        <v>1.2031000000000001</v>
      </c>
      <c r="G36">
        <v>1.2819</v>
      </c>
      <c r="K36" s="17"/>
      <c r="L36" s="17"/>
      <c r="M36" s="17"/>
      <c r="N36" s="18"/>
      <c r="O36" s="18"/>
      <c r="P36" s="17"/>
      <c r="Y36" s="11"/>
      <c r="AM36" s="12"/>
      <c r="AV36" s="12"/>
      <c r="BE36" s="12"/>
      <c r="BN36" s="12"/>
      <c r="BW36" s="12"/>
      <c r="CF36" s="12"/>
    </row>
    <row r="37" spans="1:87">
      <c r="A37" s="581" t="s">
        <v>1555</v>
      </c>
      <c r="B37">
        <v>1.5195000000000001</v>
      </c>
      <c r="C37">
        <v>0.3538</v>
      </c>
      <c r="D37">
        <v>9.0190999999999999</v>
      </c>
      <c r="E37">
        <v>1.0538000000000001</v>
      </c>
      <c r="F37">
        <v>1.27</v>
      </c>
      <c r="G37">
        <v>1.3082</v>
      </c>
      <c r="K37" s="17"/>
      <c r="L37" s="17"/>
      <c r="M37" s="17"/>
      <c r="N37" s="17"/>
      <c r="O37" s="17"/>
      <c r="P37" s="17"/>
      <c r="Y37" s="11"/>
    </row>
    <row r="38" spans="1:87">
      <c r="A38" s="581" t="s">
        <v>1556</v>
      </c>
      <c r="B38">
        <v>1.5314000000000001</v>
      </c>
      <c r="C38">
        <v>0.19919999999999999</v>
      </c>
      <c r="D38">
        <v>4.0837000000000003</v>
      </c>
      <c r="E38">
        <v>0.79769999999999996</v>
      </c>
      <c r="F38">
        <v>1.6374</v>
      </c>
      <c r="G38">
        <v>2.0362</v>
      </c>
      <c r="Y38" s="11"/>
    </row>
    <row r="39" spans="1:87">
      <c r="A39" s="581" t="s">
        <v>1557</v>
      </c>
      <c r="B39">
        <v>1.3636999999999999</v>
      </c>
      <c r="C39">
        <v>0.12809999999999999</v>
      </c>
      <c r="D39">
        <v>3.3746999999999998</v>
      </c>
      <c r="E39">
        <v>0.79969999999999997</v>
      </c>
      <c r="F39">
        <v>1.6282000000000001</v>
      </c>
      <c r="G39">
        <v>1.6573</v>
      </c>
      <c r="Y39" s="11"/>
    </row>
    <row r="40" spans="1:87">
      <c r="A40" s="581" t="s">
        <v>1558</v>
      </c>
      <c r="B40">
        <v>1.3077000000000001</v>
      </c>
      <c r="C40">
        <v>0.1691</v>
      </c>
      <c r="D40">
        <v>2.2627000000000002</v>
      </c>
      <c r="E40">
        <v>0.55840000000000001</v>
      </c>
      <c r="F40">
        <v>1.3109999999999999</v>
      </c>
      <c r="G40">
        <v>1.8653</v>
      </c>
      <c r="N40" s="12"/>
      <c r="O40" s="14"/>
      <c r="Q40" s="12"/>
      <c r="Y40" s="11"/>
    </row>
    <row r="41" spans="1:87">
      <c r="A41" s="581" t="s">
        <v>1559</v>
      </c>
      <c r="B41">
        <v>1.3867</v>
      </c>
      <c r="C41">
        <v>9.7299999999999998E-2</v>
      </c>
      <c r="D41">
        <v>1.798</v>
      </c>
      <c r="E41">
        <v>0.80589999999999995</v>
      </c>
      <c r="F41">
        <v>1.9922</v>
      </c>
      <c r="G41">
        <v>2.7262</v>
      </c>
      <c r="N41" s="12"/>
      <c r="O41" s="14"/>
      <c r="Q41" s="12"/>
      <c r="Y41" s="11"/>
    </row>
    <row r="42" spans="1:87">
      <c r="A42" s="581" t="s">
        <v>1560</v>
      </c>
      <c r="B42">
        <v>1.4897</v>
      </c>
      <c r="C42">
        <v>0.109</v>
      </c>
      <c r="D42">
        <v>2.3132999999999999</v>
      </c>
      <c r="E42">
        <v>0.77969999999999995</v>
      </c>
      <c r="F42">
        <v>2.7145999999999999</v>
      </c>
      <c r="G42">
        <v>4.4211999999999998</v>
      </c>
      <c r="Y42" s="11"/>
    </row>
    <row r="43" spans="1:87">
      <c r="A43" s="581" t="s">
        <v>1561</v>
      </c>
      <c r="B43">
        <v>1.4438</v>
      </c>
      <c r="C43">
        <v>0.13650000000000001</v>
      </c>
      <c r="D43">
        <v>2.7044000000000001</v>
      </c>
      <c r="E43">
        <v>0.83350000000000002</v>
      </c>
      <c r="F43">
        <v>1.7008000000000001</v>
      </c>
      <c r="G43">
        <v>2.0727000000000002</v>
      </c>
      <c r="Q43" s="12"/>
      <c r="Y43" s="11"/>
    </row>
    <row r="44" spans="1:87">
      <c r="A44" s="581" t="s">
        <v>1562</v>
      </c>
      <c r="B44">
        <v>1.5893999999999999</v>
      </c>
      <c r="C44">
        <v>0.14810000000000001</v>
      </c>
      <c r="D44">
        <v>3.1577000000000002</v>
      </c>
      <c r="E44">
        <v>0.71970000000000001</v>
      </c>
      <c r="F44">
        <v>2.0529000000000002</v>
      </c>
      <c r="G44">
        <v>2.5647000000000002</v>
      </c>
      <c r="Y44" s="11"/>
    </row>
    <row r="45" spans="1:87">
      <c r="A45" s="581" t="s">
        <v>1563</v>
      </c>
      <c r="B45">
        <v>1.3701000000000001</v>
      </c>
      <c r="C45">
        <v>0.15310000000000001</v>
      </c>
      <c r="D45">
        <v>2.6722000000000001</v>
      </c>
      <c r="E45">
        <v>0.87890000000000001</v>
      </c>
      <c r="F45">
        <v>1.4468000000000001</v>
      </c>
      <c r="G45">
        <v>1.7275</v>
      </c>
      <c r="Q45" s="12"/>
      <c r="Y45" s="11"/>
    </row>
    <row r="46" spans="1:87">
      <c r="A46" s="581" t="s">
        <v>1564</v>
      </c>
      <c r="B46">
        <v>1.3055000000000001</v>
      </c>
      <c r="C46">
        <v>6.88E-2</v>
      </c>
      <c r="D46">
        <v>2.8946999999999998</v>
      </c>
      <c r="E46">
        <v>0.58169999999999999</v>
      </c>
      <c r="F46">
        <v>1.8607</v>
      </c>
      <c r="G46">
        <v>1.3303</v>
      </c>
      <c r="Q46" s="16"/>
      <c r="Y46" s="11"/>
    </row>
    <row r="47" spans="1:87">
      <c r="A47" s="581" t="s">
        <v>1565</v>
      </c>
      <c r="B47">
        <v>1.3927</v>
      </c>
      <c r="C47">
        <v>8.3099999999999993E-2</v>
      </c>
      <c r="D47">
        <v>4.2417999999999996</v>
      </c>
      <c r="E47">
        <v>0.93100000000000005</v>
      </c>
      <c r="F47">
        <v>2.2273999999999998</v>
      </c>
      <c r="G47">
        <v>1.3853</v>
      </c>
      <c r="Q47" s="16"/>
      <c r="Y47" s="11"/>
    </row>
    <row r="48" spans="1:87">
      <c r="A48" s="581" t="s">
        <v>1566</v>
      </c>
      <c r="B48">
        <v>1.3787</v>
      </c>
      <c r="C48">
        <v>9.9099999999999994E-2</v>
      </c>
      <c r="D48">
        <v>1.9303999999999999</v>
      </c>
      <c r="E48">
        <v>0.96499999999999997</v>
      </c>
      <c r="F48">
        <v>2.0072000000000001</v>
      </c>
      <c r="G48">
        <v>2.7132999999999998</v>
      </c>
      <c r="Y48" s="11"/>
    </row>
    <row r="49" spans="1:25">
      <c r="A49" s="581" t="s">
        <v>1567</v>
      </c>
      <c r="B49">
        <v>1.4297</v>
      </c>
      <c r="C49">
        <v>0.25059999999999999</v>
      </c>
      <c r="D49">
        <v>4.4212999999999996</v>
      </c>
      <c r="E49">
        <v>0.98099999999999998</v>
      </c>
      <c r="F49">
        <v>1.3274999999999999</v>
      </c>
      <c r="G49">
        <v>1.623</v>
      </c>
      <c r="Y49" s="11"/>
    </row>
    <row r="50" spans="1:25">
      <c r="A50" s="581" t="s">
        <v>1568</v>
      </c>
      <c r="B50">
        <v>1.3787</v>
      </c>
      <c r="C50">
        <v>0.151</v>
      </c>
      <c r="D50">
        <v>2.1947000000000001</v>
      </c>
      <c r="E50">
        <v>0.88180000000000003</v>
      </c>
      <c r="F50">
        <v>1.5061</v>
      </c>
      <c r="G50">
        <v>2.3612000000000002</v>
      </c>
      <c r="Y50" s="11"/>
    </row>
    <row r="51" spans="1:25">
      <c r="A51" s="581" t="s">
        <v>1569</v>
      </c>
      <c r="B51">
        <v>1.5327999999999999</v>
      </c>
      <c r="C51">
        <v>0.36919999999999997</v>
      </c>
      <c r="D51">
        <v>13.1723</v>
      </c>
      <c r="E51">
        <v>0.99890000000000001</v>
      </c>
      <c r="F51">
        <v>1.2603</v>
      </c>
      <c r="G51">
        <v>1.1952</v>
      </c>
      <c r="Y51" s="11"/>
    </row>
    <row r="52" spans="1:25">
      <c r="A52" s="581" t="s">
        <v>1570</v>
      </c>
      <c r="B52">
        <v>1.7507999999999999</v>
      </c>
      <c r="C52">
        <v>0.39410000000000001</v>
      </c>
      <c r="D52">
        <v>7.3388</v>
      </c>
      <c r="E52">
        <v>0.96399999999999997</v>
      </c>
      <c r="F52">
        <v>1.4582999999999999</v>
      </c>
      <c r="G52">
        <v>1.6829000000000001</v>
      </c>
      <c r="Y52" s="11"/>
    </row>
    <row r="53" spans="1:25">
      <c r="A53" s="581" t="s">
        <v>1571</v>
      </c>
      <c r="B53">
        <v>1.5544</v>
      </c>
      <c r="C53">
        <v>0.33239999999999997</v>
      </c>
      <c r="D53">
        <v>10.833600000000001</v>
      </c>
      <c r="E53">
        <v>0.99419999999999997</v>
      </c>
      <c r="F53">
        <v>1.2667999999999999</v>
      </c>
      <c r="G53">
        <v>1.2290000000000001</v>
      </c>
      <c r="K53" s="17"/>
      <c r="N53" s="17"/>
      <c r="O53" s="17"/>
      <c r="P53" s="17"/>
      <c r="Y53" s="11"/>
    </row>
    <row r="54" spans="1:25">
      <c r="A54" s="581" t="s">
        <v>1572</v>
      </c>
      <c r="B54">
        <v>1.5448999999999999</v>
      </c>
      <c r="C54">
        <v>0.32629999999999998</v>
      </c>
      <c r="D54">
        <v>6.1333000000000002</v>
      </c>
      <c r="E54">
        <v>1.0229999999999999</v>
      </c>
      <c r="F54">
        <v>1.3151999999999999</v>
      </c>
      <c r="G54">
        <v>1.5219</v>
      </c>
      <c r="K54" s="17"/>
      <c r="N54" s="12"/>
      <c r="O54" s="12"/>
      <c r="Y54" s="11"/>
    </row>
    <row r="55" spans="1:25">
      <c r="A55" s="581" t="s">
        <v>1573</v>
      </c>
      <c r="B55">
        <v>1.6559999999999999</v>
      </c>
      <c r="C55">
        <v>0.2712</v>
      </c>
      <c r="D55">
        <v>5.6839000000000004</v>
      </c>
      <c r="E55">
        <v>0.94369999999999998</v>
      </c>
      <c r="F55">
        <v>1.4302999999999999</v>
      </c>
      <c r="G55">
        <v>1.6926000000000001</v>
      </c>
      <c r="K55" s="17"/>
      <c r="N55" s="12"/>
      <c r="O55" s="12"/>
      <c r="Y55" s="11"/>
    </row>
    <row r="56" spans="1:25">
      <c r="A56" s="581" t="s">
        <v>1574</v>
      </c>
      <c r="B56">
        <v>1.6251</v>
      </c>
      <c r="C56">
        <v>0.41560000000000002</v>
      </c>
      <c r="D56">
        <v>13.214600000000001</v>
      </c>
      <c r="E56">
        <v>1.0595000000000001</v>
      </c>
      <c r="F56">
        <v>1.2525999999999999</v>
      </c>
      <c r="G56">
        <v>1.2197</v>
      </c>
      <c r="K56" s="17"/>
      <c r="Y56" s="11"/>
    </row>
    <row r="57" spans="1:25">
      <c r="A57" s="581" t="s">
        <v>1575</v>
      </c>
      <c r="B57">
        <v>1.6122000000000001</v>
      </c>
      <c r="C57">
        <v>0.39129999999999998</v>
      </c>
      <c r="D57">
        <v>16.272200000000002</v>
      </c>
      <c r="E57">
        <v>1.0129999999999999</v>
      </c>
      <c r="F57">
        <v>1.2726999999999999</v>
      </c>
      <c r="G57">
        <v>1.1711</v>
      </c>
      <c r="Y57" s="11"/>
    </row>
    <row r="58" spans="1:25">
      <c r="A58" s="581" t="s">
        <v>1576</v>
      </c>
      <c r="B58">
        <v>1.5558000000000001</v>
      </c>
      <c r="C58">
        <v>0.1893</v>
      </c>
      <c r="D58">
        <v>6.2698</v>
      </c>
      <c r="E58">
        <v>0.94210000000000005</v>
      </c>
      <c r="F58">
        <v>1.7131000000000001</v>
      </c>
      <c r="G58">
        <v>1.5664</v>
      </c>
      <c r="Y58" s="11"/>
    </row>
    <row r="59" spans="1:25">
      <c r="A59" s="581" t="s">
        <v>1577</v>
      </c>
      <c r="B59">
        <v>1.4702</v>
      </c>
      <c r="C59">
        <v>0.22170000000000001</v>
      </c>
      <c r="D59">
        <v>10.8804</v>
      </c>
      <c r="E59">
        <v>0.93410000000000004</v>
      </c>
      <c r="F59">
        <v>1.3616999999999999</v>
      </c>
      <c r="G59">
        <v>1.1689000000000001</v>
      </c>
      <c r="N59" s="12"/>
      <c r="O59" s="14"/>
      <c r="Q59" s="12"/>
      <c r="Y59" s="11"/>
    </row>
    <row r="60" spans="1:25">
      <c r="A60" s="581" t="s">
        <v>1578</v>
      </c>
      <c r="B60">
        <v>1.6476</v>
      </c>
      <c r="C60">
        <v>0.2717</v>
      </c>
      <c r="D60">
        <v>7.7759999999999998</v>
      </c>
      <c r="E60">
        <v>0.93530000000000002</v>
      </c>
      <c r="F60">
        <v>1.5222</v>
      </c>
      <c r="G60">
        <v>1.4608000000000001</v>
      </c>
      <c r="N60" s="12"/>
      <c r="O60" s="14"/>
      <c r="Q60" s="12"/>
      <c r="Y60" s="11"/>
    </row>
    <row r="61" spans="1:25">
      <c r="A61" s="581" t="s">
        <v>1579</v>
      </c>
      <c r="B61">
        <v>1.5508999999999999</v>
      </c>
      <c r="C61">
        <v>0.24879999999999999</v>
      </c>
      <c r="D61">
        <v>11.1531</v>
      </c>
      <c r="E61">
        <v>0.86350000000000005</v>
      </c>
      <c r="F61">
        <v>1.3787</v>
      </c>
      <c r="G61">
        <v>1.1856</v>
      </c>
      <c r="Y61" s="11"/>
    </row>
    <row r="62" spans="1:25">
      <c r="A62" s="581" t="s">
        <v>1580</v>
      </c>
      <c r="B62">
        <v>1.6808000000000001</v>
      </c>
      <c r="C62">
        <v>0.36430000000000001</v>
      </c>
      <c r="D62">
        <v>9.4105000000000008</v>
      </c>
      <c r="E62">
        <v>0.9667</v>
      </c>
      <c r="F62">
        <v>1.3496999999999999</v>
      </c>
      <c r="G62">
        <v>1.3586</v>
      </c>
      <c r="Q62" s="12"/>
      <c r="Y62" s="11"/>
    </row>
    <row r="63" spans="1:25">
      <c r="A63" s="581" t="s">
        <v>1581</v>
      </c>
      <c r="B63">
        <v>0.90529999999999999</v>
      </c>
      <c r="C63">
        <v>0.12620000000000001</v>
      </c>
      <c r="D63">
        <v>3.6806999999999999</v>
      </c>
      <c r="E63">
        <v>0.55830000000000002</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sheetPr codeName="Sheet31">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1.3263</v>
      </c>
      <c r="C2">
        <v>0.315</v>
      </c>
      <c r="D2">
        <v>15.7813</v>
      </c>
      <c r="E2">
        <v>0.58479999999999999</v>
      </c>
      <c r="F2">
        <v>1.2395</v>
      </c>
      <c r="G2">
        <v>1.1556</v>
      </c>
    </row>
    <row r="3" spans="1:87">
      <c r="A3" s="581" t="s">
        <v>1521</v>
      </c>
      <c r="B3">
        <v>1.3714</v>
      </c>
      <c r="C3">
        <v>0.1973</v>
      </c>
      <c r="D3">
        <v>9.5972000000000008</v>
      </c>
      <c r="E3">
        <v>0.85029999999999994</v>
      </c>
      <c r="F3">
        <v>1.2159</v>
      </c>
      <c r="G3">
        <v>1.1477999999999999</v>
      </c>
    </row>
    <row r="4" spans="1:87">
      <c r="A4" s="581" t="s">
        <v>1522</v>
      </c>
      <c r="B4">
        <v>1</v>
      </c>
      <c r="C4">
        <v>0</v>
      </c>
      <c r="D4">
        <v>0</v>
      </c>
      <c r="E4">
        <v>0</v>
      </c>
      <c r="F4">
        <v>0</v>
      </c>
      <c r="G4">
        <v>0</v>
      </c>
      <c r="N4" s="17"/>
      <c r="U4" s="21"/>
      <c r="X4" s="21"/>
    </row>
    <row r="5" spans="1:87">
      <c r="A5" s="581" t="s">
        <v>1523</v>
      </c>
      <c r="B5">
        <v>1</v>
      </c>
      <c r="C5">
        <v>0</v>
      </c>
      <c r="D5">
        <v>0</v>
      </c>
      <c r="E5">
        <v>0</v>
      </c>
      <c r="F5">
        <v>0</v>
      </c>
      <c r="G5">
        <v>0</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v>
      </c>
      <c r="C6">
        <v>0</v>
      </c>
      <c r="D6">
        <v>0</v>
      </c>
      <c r="E6">
        <v>0</v>
      </c>
      <c r="F6">
        <v>0</v>
      </c>
      <c r="G6">
        <v>0</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1.1026</v>
      </c>
      <c r="C7">
        <v>9.35E-2</v>
      </c>
      <c r="D7">
        <v>1.2252000000000001</v>
      </c>
      <c r="E7">
        <v>0.75380000000000003</v>
      </c>
      <c r="F7">
        <v>1.2726999999999999</v>
      </c>
      <c r="G7">
        <v>1.7213000000000001</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1.2857000000000001</v>
      </c>
      <c r="C8">
        <v>0.31069999999999998</v>
      </c>
      <c r="D8">
        <v>6.3765999999999998</v>
      </c>
      <c r="E8">
        <v>0.69140000000000001</v>
      </c>
      <c r="F8">
        <v>1.2016</v>
      </c>
      <c r="G8">
        <v>1.2808999999999999</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1.288</v>
      </c>
      <c r="C9">
        <v>0.44330000000000003</v>
      </c>
      <c r="D9">
        <v>11.878399999999999</v>
      </c>
      <c r="E9">
        <v>0.50780000000000003</v>
      </c>
      <c r="F9">
        <v>1.1412</v>
      </c>
      <c r="G9">
        <v>1.1488</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1.2513000000000001</v>
      </c>
      <c r="C10">
        <v>0.15709999999999999</v>
      </c>
      <c r="D10">
        <v>3.3157000000000001</v>
      </c>
      <c r="E10">
        <v>0.53420000000000001</v>
      </c>
      <c r="F10">
        <v>1.3641000000000001</v>
      </c>
      <c r="G10">
        <v>1.4333</v>
      </c>
      <c r="U10" s="13"/>
      <c r="V10" s="23"/>
      <c r="W10" s="26"/>
      <c r="Y10" s="11"/>
      <c r="AM10" s="12"/>
      <c r="AV10" s="12"/>
      <c r="BE10" s="12"/>
      <c r="BN10" s="12"/>
      <c r="BW10" s="12"/>
      <c r="CF10" s="12"/>
    </row>
    <row r="11" spans="1:87">
      <c r="A11" s="581" t="s">
        <v>1529</v>
      </c>
      <c r="B11">
        <v>1</v>
      </c>
      <c r="C11">
        <v>0</v>
      </c>
      <c r="D11">
        <v>0</v>
      </c>
      <c r="E11">
        <v>0</v>
      </c>
      <c r="F11">
        <v>0</v>
      </c>
      <c r="G11">
        <v>0</v>
      </c>
      <c r="U11" s="13"/>
      <c r="V11" s="23"/>
      <c r="Y11" s="11"/>
      <c r="AM11" s="12"/>
      <c r="AP11" s="12"/>
      <c r="AV11" s="12"/>
      <c r="AY11" s="12"/>
      <c r="BE11" s="12"/>
      <c r="BH11" s="12"/>
      <c r="BN11" s="12"/>
      <c r="BQ11" s="12"/>
      <c r="BW11" s="12"/>
      <c r="BZ11" s="12"/>
      <c r="CF11" s="12"/>
      <c r="CI11" s="12"/>
    </row>
    <row r="12" spans="1:87">
      <c r="A12" s="581" t="s">
        <v>1530</v>
      </c>
      <c r="B12">
        <v>1.2710999999999999</v>
      </c>
      <c r="C12">
        <v>0.28260000000000002</v>
      </c>
      <c r="D12">
        <v>5.3632</v>
      </c>
      <c r="E12">
        <v>0.5917</v>
      </c>
      <c r="F12">
        <v>1.1970000000000001</v>
      </c>
      <c r="G12">
        <v>1.2863</v>
      </c>
      <c r="N12" s="15"/>
      <c r="U12" s="13"/>
      <c r="V12" s="23"/>
      <c r="Y12" s="11"/>
      <c r="AM12" s="12"/>
      <c r="AV12" s="12"/>
      <c r="BE12" s="12"/>
      <c r="BN12" s="12"/>
      <c r="BW12" s="12"/>
      <c r="CF12" s="12"/>
    </row>
    <row r="13" spans="1:87">
      <c r="A13" s="581" t="s">
        <v>1531</v>
      </c>
      <c r="B13">
        <v>1</v>
      </c>
      <c r="C13">
        <v>0</v>
      </c>
      <c r="D13">
        <v>0</v>
      </c>
      <c r="E13">
        <v>0</v>
      </c>
      <c r="F13">
        <v>0</v>
      </c>
      <c r="G13">
        <v>0</v>
      </c>
      <c r="N13" s="16"/>
      <c r="U13" s="13"/>
      <c r="V13" s="23"/>
      <c r="Y13" s="11"/>
      <c r="AM13" s="12"/>
      <c r="AV13" s="12"/>
      <c r="BE13" s="12"/>
      <c r="BN13" s="12"/>
      <c r="BW13" s="12"/>
      <c r="CF13" s="12"/>
    </row>
    <row r="14" spans="1:87">
      <c r="A14" s="581" t="s">
        <v>1532</v>
      </c>
      <c r="B14">
        <v>1.1722999999999999</v>
      </c>
      <c r="C14">
        <v>0.22059999999999999</v>
      </c>
      <c r="D14">
        <v>3.2214</v>
      </c>
      <c r="E14">
        <v>0.8075</v>
      </c>
      <c r="F14">
        <v>1.1574</v>
      </c>
      <c r="G14">
        <v>1.3082</v>
      </c>
      <c r="N14" s="16"/>
      <c r="U14" s="13"/>
      <c r="V14" s="23"/>
      <c r="Y14" s="11"/>
      <c r="AM14" s="12"/>
      <c r="AV14" s="12"/>
      <c r="BE14" s="12"/>
      <c r="BN14" s="12"/>
      <c r="BW14" s="12"/>
      <c r="CF14" s="12"/>
    </row>
    <row r="15" spans="1:87">
      <c r="A15" s="581" t="s">
        <v>1533</v>
      </c>
      <c r="B15">
        <v>1</v>
      </c>
      <c r="C15">
        <v>0</v>
      </c>
      <c r="D15">
        <v>0</v>
      </c>
      <c r="E15">
        <v>0</v>
      </c>
      <c r="F15">
        <v>0</v>
      </c>
      <c r="G15">
        <v>0</v>
      </c>
      <c r="N15" s="15"/>
      <c r="U15" s="13"/>
      <c r="V15" s="23"/>
      <c r="Y15" s="11"/>
      <c r="AM15" s="12"/>
      <c r="AV15" s="12"/>
    </row>
    <row r="16" spans="1:87">
      <c r="A16" s="581" t="s">
        <v>1534</v>
      </c>
      <c r="B16">
        <v>1</v>
      </c>
      <c r="C16">
        <v>0</v>
      </c>
      <c r="D16">
        <v>0</v>
      </c>
      <c r="E16">
        <v>0</v>
      </c>
      <c r="F16">
        <v>0</v>
      </c>
      <c r="G16">
        <v>0</v>
      </c>
      <c r="U16" s="13"/>
      <c r="V16" s="23"/>
      <c r="Y16" s="11"/>
      <c r="AM16" s="12"/>
      <c r="AV16" s="12"/>
      <c r="BE16" s="12"/>
      <c r="BN16" s="12"/>
      <c r="BW16" s="12"/>
      <c r="CF16" s="12"/>
    </row>
    <row r="17" spans="1:87">
      <c r="A17" s="581" t="s">
        <v>1535</v>
      </c>
      <c r="B17">
        <v>1</v>
      </c>
      <c r="C17">
        <v>0</v>
      </c>
      <c r="D17">
        <v>0</v>
      </c>
      <c r="E17">
        <v>0</v>
      </c>
      <c r="F17">
        <v>0</v>
      </c>
      <c r="G17">
        <v>0</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v>
      </c>
      <c r="C18">
        <v>0</v>
      </c>
      <c r="D18">
        <v>0</v>
      </c>
      <c r="E18">
        <v>0</v>
      </c>
      <c r="F18">
        <v>0</v>
      </c>
      <c r="G18">
        <v>0</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v>
      </c>
      <c r="C19">
        <v>0</v>
      </c>
      <c r="D19">
        <v>0</v>
      </c>
      <c r="E19">
        <v>0</v>
      </c>
      <c r="F19">
        <v>0</v>
      </c>
      <c r="G19">
        <v>0</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1.6720999999999999</v>
      </c>
      <c r="C20">
        <v>0.21110000000000001</v>
      </c>
      <c r="D20">
        <v>7.2351000000000001</v>
      </c>
      <c r="E20">
        <v>0.55210000000000004</v>
      </c>
      <c r="F20">
        <v>2.5598999999999998</v>
      </c>
      <c r="G20">
        <v>3.9329999999999998</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v>
      </c>
      <c r="C21">
        <v>0</v>
      </c>
      <c r="D21">
        <v>0</v>
      </c>
      <c r="E21">
        <v>0</v>
      </c>
      <c r="F21">
        <v>0</v>
      </c>
      <c r="G21">
        <v>0</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v>
      </c>
      <c r="C22">
        <v>0</v>
      </c>
      <c r="D22">
        <v>0</v>
      </c>
      <c r="E22">
        <v>0</v>
      </c>
      <c r="F22">
        <v>0</v>
      </c>
      <c r="G22">
        <v>0</v>
      </c>
      <c r="K22" s="17"/>
      <c r="L22" s="17"/>
      <c r="M22" s="17"/>
      <c r="N22" s="17"/>
      <c r="O22" s="17"/>
      <c r="P22" s="17"/>
      <c r="U22" s="13"/>
      <c r="V22" s="23"/>
      <c r="Y22" s="11"/>
      <c r="AM22" s="12"/>
      <c r="AV22" s="12"/>
      <c r="BE22" s="12"/>
      <c r="BN22" s="12"/>
      <c r="BW22" s="12"/>
      <c r="CF22" s="12"/>
    </row>
    <row r="23" spans="1:87">
      <c r="A23" s="581" t="s">
        <v>1541</v>
      </c>
      <c r="B23">
        <v>1</v>
      </c>
      <c r="C23">
        <v>0</v>
      </c>
      <c r="D23">
        <v>0</v>
      </c>
      <c r="E23">
        <v>0</v>
      </c>
      <c r="F23">
        <v>0</v>
      </c>
      <c r="G23">
        <v>0</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1.2190000000000001</v>
      </c>
      <c r="C24">
        <v>0.11799999999999999</v>
      </c>
      <c r="D24">
        <v>2.6850000000000001</v>
      </c>
      <c r="E24">
        <v>0.48749999999999999</v>
      </c>
      <c r="F24">
        <v>1.4807999999999999</v>
      </c>
      <c r="G24">
        <v>1.5412999999999999</v>
      </c>
      <c r="K24" s="17"/>
      <c r="L24" s="17"/>
      <c r="M24" s="17"/>
      <c r="N24" s="18"/>
      <c r="O24" s="18"/>
      <c r="P24" s="17"/>
      <c r="R24" s="11"/>
      <c r="U24" s="13"/>
      <c r="V24" s="23"/>
      <c r="Y24" s="11"/>
      <c r="AM24" s="12"/>
      <c r="AV24" s="12"/>
      <c r="BE24" s="12"/>
      <c r="BN24" s="12"/>
      <c r="BW24" s="12"/>
      <c r="CF24" s="12"/>
    </row>
    <row r="25" spans="1:87">
      <c r="A25" s="581" t="s">
        <v>1543</v>
      </c>
      <c r="B25">
        <v>1</v>
      </c>
      <c r="C25">
        <v>0</v>
      </c>
      <c r="D25">
        <v>0</v>
      </c>
      <c r="E25">
        <v>0</v>
      </c>
      <c r="F25">
        <v>0</v>
      </c>
      <c r="G25">
        <v>0</v>
      </c>
      <c r="K25" s="17"/>
      <c r="L25" s="17"/>
      <c r="M25" s="17"/>
      <c r="N25" s="18"/>
      <c r="O25" s="17"/>
      <c r="P25" s="17"/>
      <c r="U25" s="13"/>
      <c r="V25" s="23"/>
      <c r="Y25" s="11"/>
      <c r="AM25" s="12"/>
      <c r="AV25" s="12"/>
      <c r="BE25" s="12"/>
      <c r="BN25" s="12"/>
      <c r="BW25" s="12"/>
      <c r="CF25" s="12"/>
    </row>
    <row r="26" spans="1:87">
      <c r="A26" s="581" t="s">
        <v>1544</v>
      </c>
      <c r="B26">
        <v>1.5134000000000001</v>
      </c>
      <c r="C26">
        <v>0.1192</v>
      </c>
      <c r="D26">
        <v>1.5781000000000001</v>
      </c>
      <c r="E26">
        <v>0.57279999999999998</v>
      </c>
      <c r="F26">
        <v>1.7313000000000001</v>
      </c>
      <c r="G26">
        <v>2.3178999999999998</v>
      </c>
      <c r="Y26" s="11"/>
      <c r="AM26" s="12"/>
      <c r="AV26" s="12"/>
      <c r="BE26" s="12"/>
      <c r="BN26" s="12"/>
      <c r="BW26" s="12"/>
      <c r="CF26" s="12"/>
    </row>
    <row r="27" spans="1:87">
      <c r="A27" s="581" t="s">
        <v>1545</v>
      </c>
      <c r="B27">
        <v>1.4198999999999999</v>
      </c>
      <c r="C27">
        <v>0.16400000000000001</v>
      </c>
      <c r="D27">
        <v>3.2675999999999998</v>
      </c>
      <c r="E27">
        <v>0.57079999999999997</v>
      </c>
      <c r="F27">
        <v>1.4451000000000001</v>
      </c>
      <c r="G27">
        <v>1.4689000000000001</v>
      </c>
      <c r="M27" s="12"/>
      <c r="Y27" s="11"/>
      <c r="AM27" s="12"/>
      <c r="AV27" s="12"/>
    </row>
    <row r="28" spans="1:87">
      <c r="A28" s="581" t="s">
        <v>1546</v>
      </c>
      <c r="B28">
        <v>1.2157</v>
      </c>
      <c r="C28">
        <v>0.25359999999999999</v>
      </c>
      <c r="D28">
        <v>4.0846</v>
      </c>
      <c r="E28">
        <v>0.78169999999999995</v>
      </c>
      <c r="F28">
        <v>1.1948000000000001</v>
      </c>
      <c r="G28">
        <v>1.381</v>
      </c>
      <c r="M28" s="13"/>
      <c r="N28" s="12"/>
      <c r="O28" s="14"/>
      <c r="Q28" s="12"/>
      <c r="Y28" s="11"/>
      <c r="AM28" s="12"/>
      <c r="AV28" s="12"/>
      <c r="BE28" s="12"/>
      <c r="BN28" s="12"/>
      <c r="BW28" s="12"/>
      <c r="CF28" s="12"/>
    </row>
    <row r="29" spans="1:87">
      <c r="A29" s="581" t="s">
        <v>1547</v>
      </c>
      <c r="B29">
        <v>1.2491000000000001</v>
      </c>
      <c r="C29">
        <v>0.27429999999999999</v>
      </c>
      <c r="D29">
        <v>9.4270999999999994</v>
      </c>
      <c r="E29">
        <v>0.81599999999999995</v>
      </c>
      <c r="F29">
        <v>1.2029000000000001</v>
      </c>
      <c r="G29">
        <v>1.1578999999999999</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v>
      </c>
      <c r="C30">
        <v>0</v>
      </c>
      <c r="D30">
        <v>0</v>
      </c>
      <c r="E30">
        <v>0</v>
      </c>
      <c r="F30">
        <v>0</v>
      </c>
      <c r="G30">
        <v>0</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1.1976</v>
      </c>
      <c r="C31">
        <v>7.2800000000000004E-2</v>
      </c>
      <c r="D31">
        <v>1.2972999999999999</v>
      </c>
      <c r="E31">
        <v>0.54010000000000002</v>
      </c>
      <c r="F31">
        <v>2.2568000000000001</v>
      </c>
      <c r="G31">
        <v>3.0567000000000002</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v>
      </c>
      <c r="C32">
        <v>0</v>
      </c>
      <c r="D32">
        <v>0</v>
      </c>
      <c r="E32">
        <v>0</v>
      </c>
      <c r="F32">
        <v>0</v>
      </c>
      <c r="G32">
        <v>0</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1.278</v>
      </c>
      <c r="C33">
        <v>0.24460000000000001</v>
      </c>
      <c r="D33">
        <v>5.5801999999999996</v>
      </c>
      <c r="E33">
        <v>0.62680000000000002</v>
      </c>
      <c r="F33">
        <v>1.2982</v>
      </c>
      <c r="G33">
        <v>1.3559000000000001</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1.1979</v>
      </c>
      <c r="C34">
        <v>0.28089999999999998</v>
      </c>
      <c r="D34">
        <v>8.5899000000000001</v>
      </c>
      <c r="E34">
        <v>0.82369999999999999</v>
      </c>
      <c r="F34">
        <v>1.1425000000000001</v>
      </c>
      <c r="G34">
        <v>1.1254</v>
      </c>
      <c r="K34" s="17"/>
      <c r="L34" s="17"/>
      <c r="M34" s="17"/>
      <c r="N34" s="17"/>
      <c r="O34" s="17"/>
      <c r="P34" s="17"/>
      <c r="Y34" s="11"/>
      <c r="AM34" s="12"/>
      <c r="AV34" s="12"/>
      <c r="BE34" s="12"/>
      <c r="BN34" s="12"/>
      <c r="BW34" s="12"/>
      <c r="CF34" s="12"/>
    </row>
    <row r="35" spans="1:87">
      <c r="A35" s="581" t="s">
        <v>1553</v>
      </c>
      <c r="B35">
        <v>1</v>
      </c>
      <c r="C35">
        <v>0</v>
      </c>
      <c r="D35">
        <v>0</v>
      </c>
      <c r="E35">
        <v>0</v>
      </c>
      <c r="F35">
        <v>0</v>
      </c>
      <c r="G35">
        <v>0</v>
      </c>
      <c r="K35" s="17"/>
      <c r="L35" s="17"/>
      <c r="M35" s="17"/>
      <c r="N35" s="18"/>
      <c r="O35" s="18"/>
      <c r="P35" s="17"/>
      <c r="Y35" s="11"/>
      <c r="AM35" s="12"/>
      <c r="AP35" s="12"/>
      <c r="AV35" s="12"/>
      <c r="AY35" s="12"/>
      <c r="BE35" s="12"/>
      <c r="BH35" s="12"/>
      <c r="BN35" s="12"/>
      <c r="BQ35" s="12"/>
      <c r="BW35" s="12"/>
      <c r="BZ35" s="12"/>
      <c r="CF35" s="12"/>
      <c r="CI35" s="12"/>
    </row>
    <row r="36" spans="1:87">
      <c r="A36" s="581" t="s">
        <v>1554</v>
      </c>
      <c r="B36">
        <v>1.2563</v>
      </c>
      <c r="C36">
        <v>0.40310000000000001</v>
      </c>
      <c r="D36">
        <v>8.6712000000000007</v>
      </c>
      <c r="E36">
        <v>0.85050000000000003</v>
      </c>
      <c r="F36">
        <v>1.1313</v>
      </c>
      <c r="G36">
        <v>1.1876</v>
      </c>
      <c r="K36" s="17"/>
      <c r="L36" s="17"/>
      <c r="M36" s="17"/>
      <c r="N36" s="18"/>
      <c r="O36" s="18"/>
      <c r="P36" s="17"/>
      <c r="Y36" s="11"/>
      <c r="AM36" s="12"/>
      <c r="AV36" s="12"/>
      <c r="BE36" s="12"/>
      <c r="BN36" s="12"/>
      <c r="BW36" s="12"/>
      <c r="CF36" s="12"/>
    </row>
    <row r="37" spans="1:87">
      <c r="A37" s="581" t="s">
        <v>1555</v>
      </c>
      <c r="B37">
        <v>1.3725000000000001</v>
      </c>
      <c r="C37">
        <v>0.52059999999999995</v>
      </c>
      <c r="D37">
        <v>13.135</v>
      </c>
      <c r="E37">
        <v>0.96530000000000005</v>
      </c>
      <c r="F37">
        <v>1.1677</v>
      </c>
      <c r="G37">
        <v>1.1907000000000001</v>
      </c>
      <c r="K37" s="17"/>
      <c r="L37" s="17"/>
      <c r="M37" s="17"/>
      <c r="N37" s="17"/>
      <c r="O37" s="17"/>
      <c r="P37" s="17"/>
      <c r="Y37" s="11"/>
    </row>
    <row r="38" spans="1:87">
      <c r="A38" s="581" t="s">
        <v>1556</v>
      </c>
      <c r="B38">
        <v>1.1584000000000001</v>
      </c>
      <c r="C38">
        <v>0.1061</v>
      </c>
      <c r="D38">
        <v>2.0426000000000002</v>
      </c>
      <c r="E38">
        <v>0.57069999999999999</v>
      </c>
      <c r="F38">
        <v>1.359</v>
      </c>
      <c r="G38">
        <v>1.5871999999999999</v>
      </c>
      <c r="Y38" s="11"/>
    </row>
    <row r="39" spans="1:87">
      <c r="A39" s="581" t="s">
        <v>1557</v>
      </c>
      <c r="B39">
        <v>1</v>
      </c>
      <c r="C39">
        <v>0</v>
      </c>
      <c r="D39">
        <v>0</v>
      </c>
      <c r="E39">
        <v>0</v>
      </c>
      <c r="F39">
        <v>0</v>
      </c>
      <c r="G39">
        <v>0</v>
      </c>
      <c r="Y39" s="11"/>
    </row>
    <row r="40" spans="1:87">
      <c r="A40" s="581" t="s">
        <v>1558</v>
      </c>
      <c r="B40">
        <v>1</v>
      </c>
      <c r="C40">
        <v>0</v>
      </c>
      <c r="D40">
        <v>0</v>
      </c>
      <c r="E40">
        <v>0</v>
      </c>
      <c r="F40">
        <v>0</v>
      </c>
      <c r="G40">
        <v>0</v>
      </c>
      <c r="N40" s="12"/>
      <c r="O40" s="14"/>
      <c r="Q40" s="12"/>
      <c r="Y40" s="11"/>
    </row>
    <row r="41" spans="1:87">
      <c r="A41" s="581" t="s">
        <v>1559</v>
      </c>
      <c r="B41">
        <v>1.1786000000000001</v>
      </c>
      <c r="C41">
        <v>0.1159</v>
      </c>
      <c r="D41">
        <v>1.8688</v>
      </c>
      <c r="E41">
        <v>0.6794</v>
      </c>
      <c r="F41">
        <v>1.3474999999999999</v>
      </c>
      <c r="G41">
        <v>1.6097999999999999</v>
      </c>
      <c r="N41" s="12"/>
      <c r="O41" s="14"/>
      <c r="Q41" s="12"/>
      <c r="Y41" s="11"/>
    </row>
    <row r="42" spans="1:87">
      <c r="A42" s="581" t="s">
        <v>1560</v>
      </c>
      <c r="B42">
        <v>1.1890000000000001</v>
      </c>
      <c r="C42">
        <v>0.13300000000000001</v>
      </c>
      <c r="D42">
        <v>2.2162000000000002</v>
      </c>
      <c r="E42">
        <v>0.59509999999999996</v>
      </c>
      <c r="F42">
        <v>1.3458000000000001</v>
      </c>
      <c r="G42">
        <v>1.7209000000000001</v>
      </c>
      <c r="Y42" s="11"/>
    </row>
    <row r="43" spans="1:87">
      <c r="A43" s="581" t="s">
        <v>1561</v>
      </c>
      <c r="B43">
        <v>1.2184999999999999</v>
      </c>
      <c r="C43">
        <v>0.13339999999999999</v>
      </c>
      <c r="D43">
        <v>2.5295000000000001</v>
      </c>
      <c r="E43">
        <v>0.70069999999999999</v>
      </c>
      <c r="F43">
        <v>1.3575999999999999</v>
      </c>
      <c r="G43">
        <v>1.583</v>
      </c>
      <c r="Q43" s="12"/>
      <c r="Y43" s="11"/>
    </row>
    <row r="44" spans="1:87">
      <c r="A44" s="581" t="s">
        <v>1562</v>
      </c>
      <c r="B44">
        <v>1.2797000000000001</v>
      </c>
      <c r="C44">
        <v>0.29609999999999997</v>
      </c>
      <c r="D44">
        <v>5.5033000000000003</v>
      </c>
      <c r="E44">
        <v>0.53200000000000003</v>
      </c>
      <c r="F44">
        <v>1.1837</v>
      </c>
      <c r="G44">
        <v>1.2889999999999999</v>
      </c>
      <c r="Y44" s="11"/>
    </row>
    <row r="45" spans="1:87">
      <c r="A45" s="581" t="s">
        <v>1563</v>
      </c>
      <c r="B45">
        <v>1.2075</v>
      </c>
      <c r="C45">
        <v>0.26119999999999999</v>
      </c>
      <c r="D45">
        <v>4.2213000000000003</v>
      </c>
      <c r="E45">
        <v>0.77910000000000001</v>
      </c>
      <c r="F45">
        <v>1.1694</v>
      </c>
      <c r="G45">
        <v>1.2927999999999999</v>
      </c>
      <c r="Q45" s="12"/>
      <c r="Y45" s="11"/>
    </row>
    <row r="46" spans="1:87">
      <c r="A46" s="581" t="s">
        <v>1564</v>
      </c>
      <c r="B46">
        <v>1</v>
      </c>
      <c r="C46">
        <v>0</v>
      </c>
      <c r="D46">
        <v>0</v>
      </c>
      <c r="E46">
        <v>0</v>
      </c>
      <c r="F46">
        <v>0</v>
      </c>
      <c r="G46">
        <v>0</v>
      </c>
      <c r="Q46" s="16"/>
      <c r="Y46" s="11"/>
    </row>
    <row r="47" spans="1:87">
      <c r="A47" s="581" t="s">
        <v>1565</v>
      </c>
      <c r="B47">
        <v>1.1269</v>
      </c>
      <c r="C47">
        <v>4.3200000000000002E-2</v>
      </c>
      <c r="D47">
        <v>2.3755000000000002</v>
      </c>
      <c r="E47">
        <v>0.77049999999999996</v>
      </c>
      <c r="F47">
        <v>1.89</v>
      </c>
      <c r="G47">
        <v>1.2675000000000001</v>
      </c>
      <c r="Q47" s="16"/>
      <c r="Y47" s="11"/>
    </row>
    <row r="48" spans="1:87">
      <c r="A48" s="581" t="s">
        <v>1566</v>
      </c>
      <c r="B48">
        <v>1.2694000000000001</v>
      </c>
      <c r="C48">
        <v>0.36969999999999997</v>
      </c>
      <c r="D48">
        <v>5.9558</v>
      </c>
      <c r="E48">
        <v>0.89759999999999995</v>
      </c>
      <c r="F48">
        <v>1.1471</v>
      </c>
      <c r="G48">
        <v>1.282</v>
      </c>
      <c r="Y48" s="11"/>
    </row>
    <row r="49" spans="1:25">
      <c r="A49" s="581" t="s">
        <v>1567</v>
      </c>
      <c r="B49">
        <v>1.2020999999999999</v>
      </c>
      <c r="C49">
        <v>0.25</v>
      </c>
      <c r="D49">
        <v>4.1172000000000004</v>
      </c>
      <c r="E49">
        <v>0.83989999999999998</v>
      </c>
      <c r="F49">
        <v>1.1687000000000001</v>
      </c>
      <c r="G49">
        <v>1.3337000000000001</v>
      </c>
      <c r="Y49" s="11"/>
    </row>
    <row r="50" spans="1:25">
      <c r="A50" s="581" t="s">
        <v>1568</v>
      </c>
      <c r="B50">
        <v>1.3298000000000001</v>
      </c>
      <c r="C50">
        <v>0.51859999999999995</v>
      </c>
      <c r="D50">
        <v>5.9391999999999996</v>
      </c>
      <c r="E50">
        <v>0.85389999999999999</v>
      </c>
      <c r="F50">
        <v>1.1252</v>
      </c>
      <c r="G50">
        <v>1.3895999999999999</v>
      </c>
      <c r="Y50" s="11"/>
    </row>
    <row r="51" spans="1:25">
      <c r="A51" s="581" t="s">
        <v>1569</v>
      </c>
      <c r="B51">
        <v>1.2050000000000001</v>
      </c>
      <c r="C51">
        <v>0.21460000000000001</v>
      </c>
      <c r="D51">
        <v>7.7248000000000001</v>
      </c>
      <c r="E51">
        <v>0.7964</v>
      </c>
      <c r="F51">
        <v>1.2055</v>
      </c>
      <c r="G51">
        <v>1.1536</v>
      </c>
      <c r="Y51" s="11"/>
    </row>
    <row r="52" spans="1:25">
      <c r="A52" s="581" t="s">
        <v>1570</v>
      </c>
      <c r="B52">
        <v>1.3956999999999999</v>
      </c>
      <c r="C52">
        <v>0.3528</v>
      </c>
      <c r="D52">
        <v>6.3129999999999997</v>
      </c>
      <c r="E52">
        <v>0.74780000000000002</v>
      </c>
      <c r="F52">
        <v>1.3056000000000001</v>
      </c>
      <c r="G52">
        <v>1.4477</v>
      </c>
      <c r="Y52" s="11"/>
    </row>
    <row r="53" spans="1:25">
      <c r="A53" s="581" t="s">
        <v>1571</v>
      </c>
      <c r="B53">
        <v>1.2829999999999999</v>
      </c>
      <c r="C53">
        <v>0.39560000000000001</v>
      </c>
      <c r="D53">
        <v>13.093</v>
      </c>
      <c r="E53">
        <v>0.82920000000000005</v>
      </c>
      <c r="F53">
        <v>1.1391</v>
      </c>
      <c r="G53">
        <v>1.1220000000000001</v>
      </c>
      <c r="K53" s="17"/>
      <c r="N53" s="17"/>
      <c r="O53" s="17"/>
      <c r="P53" s="17"/>
      <c r="Y53" s="11"/>
    </row>
    <row r="54" spans="1:25">
      <c r="A54" s="581" t="s">
        <v>1572</v>
      </c>
      <c r="B54">
        <v>1.2445999999999999</v>
      </c>
      <c r="C54">
        <v>0.29089999999999999</v>
      </c>
      <c r="D54">
        <v>5.2030000000000003</v>
      </c>
      <c r="E54">
        <v>0.8367</v>
      </c>
      <c r="F54">
        <v>1.1739999999999999</v>
      </c>
      <c r="G54">
        <v>1.2927999999999999</v>
      </c>
      <c r="K54" s="17"/>
      <c r="N54" s="12"/>
      <c r="O54" s="12"/>
      <c r="Y54" s="11"/>
    </row>
    <row r="55" spans="1:25">
      <c r="A55" s="581" t="s">
        <v>1573</v>
      </c>
      <c r="B55">
        <v>1.2786</v>
      </c>
      <c r="C55">
        <v>0.2863</v>
      </c>
      <c r="D55">
        <v>5.5366999999999997</v>
      </c>
      <c r="E55">
        <v>0.70489999999999997</v>
      </c>
      <c r="F55">
        <v>1.1849000000000001</v>
      </c>
      <c r="G55">
        <v>1.294</v>
      </c>
      <c r="K55" s="17"/>
      <c r="N55" s="12"/>
      <c r="O55" s="12"/>
      <c r="Y55" s="11"/>
    </row>
    <row r="56" spans="1:25">
      <c r="A56" s="581" t="s">
        <v>1574</v>
      </c>
      <c r="B56">
        <v>1.2950999999999999</v>
      </c>
      <c r="C56">
        <v>0.373</v>
      </c>
      <c r="D56">
        <v>12.0106</v>
      </c>
      <c r="E56">
        <v>0.85329999999999995</v>
      </c>
      <c r="F56">
        <v>1.1535</v>
      </c>
      <c r="G56">
        <v>1.1375</v>
      </c>
      <c r="K56" s="17"/>
      <c r="Y56" s="11"/>
    </row>
    <row r="57" spans="1:25">
      <c r="A57" s="581" t="s">
        <v>1575</v>
      </c>
      <c r="B57">
        <v>1.3259000000000001</v>
      </c>
      <c r="C57">
        <v>0.4385</v>
      </c>
      <c r="D57">
        <v>18.886900000000001</v>
      </c>
      <c r="E57">
        <v>0.84009999999999996</v>
      </c>
      <c r="F57">
        <v>1.1487000000000001</v>
      </c>
      <c r="G57">
        <v>1.095</v>
      </c>
      <c r="Y57" s="11"/>
    </row>
    <row r="58" spans="1:25">
      <c r="A58" s="581" t="s">
        <v>1576</v>
      </c>
      <c r="B58">
        <v>1.375</v>
      </c>
      <c r="C58">
        <v>0.34860000000000002</v>
      </c>
      <c r="D58">
        <v>12.2234</v>
      </c>
      <c r="E58">
        <v>0.82889999999999997</v>
      </c>
      <c r="F58">
        <v>1.2732000000000001</v>
      </c>
      <c r="G58">
        <v>1.2324999999999999</v>
      </c>
      <c r="Y58" s="11"/>
    </row>
    <row r="59" spans="1:25">
      <c r="A59" s="581" t="s">
        <v>1577</v>
      </c>
      <c r="B59">
        <v>1.1731</v>
      </c>
      <c r="C59">
        <v>0.14849999999999999</v>
      </c>
      <c r="D59">
        <v>7.5906000000000002</v>
      </c>
      <c r="E59">
        <v>0.75349999999999995</v>
      </c>
      <c r="F59">
        <v>1.2504999999999999</v>
      </c>
      <c r="G59">
        <v>1.1182000000000001</v>
      </c>
      <c r="N59" s="12"/>
      <c r="O59" s="14"/>
      <c r="Q59" s="12"/>
      <c r="Y59" s="11"/>
    </row>
    <row r="60" spans="1:25">
      <c r="A60" s="581" t="s">
        <v>1578</v>
      </c>
      <c r="B60">
        <v>1.2809999999999999</v>
      </c>
      <c r="C60">
        <v>0.21249999999999999</v>
      </c>
      <c r="D60">
        <v>6.2156000000000002</v>
      </c>
      <c r="E60">
        <v>0.71240000000000003</v>
      </c>
      <c r="F60">
        <v>1.3335999999999999</v>
      </c>
      <c r="G60">
        <v>1.3078000000000001</v>
      </c>
      <c r="N60" s="12"/>
      <c r="O60" s="14"/>
      <c r="Q60" s="12"/>
      <c r="Y60" s="11"/>
    </row>
    <row r="61" spans="1:25">
      <c r="A61" s="581" t="s">
        <v>1579</v>
      </c>
      <c r="B61">
        <v>1.2712000000000001</v>
      </c>
      <c r="C61">
        <v>0.2848</v>
      </c>
      <c r="D61">
        <v>13.7392</v>
      </c>
      <c r="E61">
        <v>0.69879999999999998</v>
      </c>
      <c r="F61">
        <v>1.1977</v>
      </c>
      <c r="G61">
        <v>1.1084000000000001</v>
      </c>
      <c r="Y61" s="11"/>
    </row>
    <row r="62" spans="1:25">
      <c r="A62" s="581" t="s">
        <v>1580</v>
      </c>
      <c r="B62">
        <v>1.4307000000000001</v>
      </c>
      <c r="C62">
        <v>0.31219999999999998</v>
      </c>
      <c r="D62">
        <v>7.9142999999999999</v>
      </c>
      <c r="E62">
        <v>0.81369999999999998</v>
      </c>
      <c r="F62">
        <v>1.3491</v>
      </c>
      <c r="G62">
        <v>1.3325</v>
      </c>
      <c r="Q62" s="12"/>
      <c r="Y62" s="11"/>
    </row>
    <row r="63" spans="1:25">
      <c r="A63" s="581" t="s">
        <v>1581</v>
      </c>
      <c r="B63">
        <v>0.51749999999999996</v>
      </c>
      <c r="C63">
        <v>9.0800000000000006E-2</v>
      </c>
      <c r="D63">
        <v>2.7927</v>
      </c>
      <c r="E63">
        <v>0.32350000000000001</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sheetPr codeName="Sheet30">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1.3803000000000001</v>
      </c>
      <c r="C2">
        <v>0.29330000000000001</v>
      </c>
      <c r="D2">
        <v>14.536799999999999</v>
      </c>
      <c r="E2">
        <v>0.63119999999999998</v>
      </c>
      <c r="F2">
        <v>1.1890000000000001</v>
      </c>
      <c r="G2">
        <v>1.0965</v>
      </c>
    </row>
    <row r="3" spans="1:87">
      <c r="A3" s="581" t="s">
        <v>1521</v>
      </c>
      <c r="B3">
        <v>1.4801</v>
      </c>
      <c r="C3">
        <v>0.50960000000000005</v>
      </c>
      <c r="D3">
        <v>24.760999999999999</v>
      </c>
      <c r="E3">
        <v>0.90339999999999998</v>
      </c>
      <c r="F3">
        <v>1.1284000000000001</v>
      </c>
      <c r="G3">
        <v>1.0642</v>
      </c>
    </row>
    <row r="4" spans="1:87">
      <c r="A4" s="581" t="s">
        <v>1522</v>
      </c>
      <c r="B4">
        <v>1</v>
      </c>
      <c r="C4">
        <v>0</v>
      </c>
      <c r="D4">
        <v>0</v>
      </c>
      <c r="E4">
        <v>0</v>
      </c>
      <c r="F4">
        <v>0</v>
      </c>
      <c r="G4">
        <v>0</v>
      </c>
      <c r="N4" s="17"/>
      <c r="U4" s="21"/>
      <c r="X4" s="21"/>
    </row>
    <row r="5" spans="1:87">
      <c r="A5" s="581" t="s">
        <v>1523</v>
      </c>
      <c r="B5">
        <v>1.2416</v>
      </c>
      <c r="C5">
        <v>9.0700000000000003E-2</v>
      </c>
      <c r="D5">
        <v>1.7189000000000001</v>
      </c>
      <c r="E5">
        <v>0.71819999999999995</v>
      </c>
      <c r="F5">
        <v>1.3946000000000001</v>
      </c>
      <c r="G5">
        <v>1.4634</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1.7141999999999999</v>
      </c>
      <c r="C6">
        <v>0.38669999999999999</v>
      </c>
      <c r="D6">
        <v>8.9283000000000001</v>
      </c>
      <c r="E6">
        <v>0.8397</v>
      </c>
      <c r="F6">
        <v>1.2765</v>
      </c>
      <c r="G6">
        <v>1.2605999999999999</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1.2575000000000001</v>
      </c>
      <c r="C7">
        <v>9.8799999999999999E-2</v>
      </c>
      <c r="D7">
        <v>1.3597999999999999</v>
      </c>
      <c r="E7">
        <v>0.85219999999999996</v>
      </c>
      <c r="F7">
        <v>1.5626</v>
      </c>
      <c r="G7">
        <v>2.2193000000000001</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1.4732000000000001</v>
      </c>
      <c r="C8">
        <v>0.24979999999999999</v>
      </c>
      <c r="D8">
        <v>5.0449999999999999</v>
      </c>
      <c r="E8">
        <v>0.80520000000000003</v>
      </c>
      <c r="F8">
        <v>1.2972999999999999</v>
      </c>
      <c r="G8">
        <v>1.3609</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1.4282999999999999</v>
      </c>
      <c r="C9">
        <v>0.21390000000000001</v>
      </c>
      <c r="D9">
        <v>5.4627999999999997</v>
      </c>
      <c r="E9">
        <v>0.59589999999999999</v>
      </c>
      <c r="F9">
        <v>1.3182</v>
      </c>
      <c r="G9">
        <v>1.2646999999999999</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1.3519000000000001</v>
      </c>
      <c r="C10">
        <v>0.11550000000000001</v>
      </c>
      <c r="D10">
        <v>2.3525999999999998</v>
      </c>
      <c r="E10">
        <v>0.59860000000000002</v>
      </c>
      <c r="F10">
        <v>1.5117</v>
      </c>
      <c r="G10">
        <v>1.5329999999999999</v>
      </c>
      <c r="U10" s="13"/>
      <c r="V10" s="23"/>
      <c r="W10" s="26"/>
      <c r="Y10" s="11"/>
      <c r="AM10" s="12"/>
      <c r="AV10" s="12"/>
      <c r="BE10" s="12"/>
      <c r="BN10" s="12"/>
      <c r="BW10" s="12"/>
      <c r="CF10" s="12"/>
    </row>
    <row r="11" spans="1:87">
      <c r="A11" s="581" t="s">
        <v>1529</v>
      </c>
      <c r="B11">
        <v>1.4353</v>
      </c>
      <c r="C11">
        <v>0.107</v>
      </c>
      <c r="D11">
        <v>2.4249999999999998</v>
      </c>
      <c r="E11">
        <v>0.42009999999999997</v>
      </c>
      <c r="F11">
        <v>1.7561</v>
      </c>
      <c r="G11">
        <v>1.6636</v>
      </c>
      <c r="U11" s="13"/>
      <c r="V11" s="23"/>
      <c r="Y11" s="11"/>
      <c r="AM11" s="12"/>
      <c r="AP11" s="12"/>
      <c r="AV11" s="12"/>
      <c r="AY11" s="12"/>
      <c r="BE11" s="12"/>
      <c r="BH11" s="12"/>
      <c r="BN11" s="12"/>
      <c r="BQ11" s="12"/>
      <c r="BW11" s="12"/>
      <c r="BZ11" s="12"/>
      <c r="CF11" s="12"/>
      <c r="CI11" s="12"/>
    </row>
    <row r="12" spans="1:87">
      <c r="A12" s="581" t="s">
        <v>1530</v>
      </c>
      <c r="B12">
        <v>1.4694</v>
      </c>
      <c r="C12">
        <v>0.1399</v>
      </c>
      <c r="D12">
        <v>2.6444999999999999</v>
      </c>
      <c r="E12">
        <v>0.69120000000000004</v>
      </c>
      <c r="F12">
        <v>1.5687</v>
      </c>
      <c r="G12">
        <v>1.6786000000000001</v>
      </c>
      <c r="N12" s="15"/>
      <c r="U12" s="13"/>
      <c r="V12" s="23"/>
      <c r="Y12" s="11"/>
      <c r="AM12" s="12"/>
      <c r="AV12" s="12"/>
      <c r="BE12" s="12"/>
      <c r="BN12" s="12"/>
      <c r="BW12" s="12"/>
      <c r="CF12" s="12"/>
    </row>
    <row r="13" spans="1:87">
      <c r="A13" s="581" t="s">
        <v>1531</v>
      </c>
      <c r="B13">
        <v>1.4676</v>
      </c>
      <c r="C13">
        <v>0.19670000000000001</v>
      </c>
      <c r="D13">
        <v>3.0446</v>
      </c>
      <c r="E13">
        <v>0.72819999999999996</v>
      </c>
      <c r="F13">
        <v>1.3654999999999999</v>
      </c>
      <c r="G13">
        <v>1.5603</v>
      </c>
      <c r="N13" s="16"/>
      <c r="U13" s="13"/>
      <c r="V13" s="23"/>
      <c r="Y13" s="11"/>
      <c r="AM13" s="12"/>
      <c r="AV13" s="12"/>
      <c r="BE13" s="12"/>
      <c r="BN13" s="12"/>
      <c r="BW13" s="12"/>
      <c r="CF13" s="12"/>
    </row>
    <row r="14" spans="1:87">
      <c r="A14" s="581" t="s">
        <v>1532</v>
      </c>
      <c r="B14">
        <v>1.3149999999999999</v>
      </c>
      <c r="C14">
        <v>0.1133</v>
      </c>
      <c r="D14">
        <v>1.7045999999999999</v>
      </c>
      <c r="E14">
        <v>0.90069999999999995</v>
      </c>
      <c r="F14">
        <v>1.4738</v>
      </c>
      <c r="G14">
        <v>1.7158</v>
      </c>
      <c r="N14" s="16"/>
      <c r="U14" s="13"/>
      <c r="V14" s="23"/>
      <c r="Y14" s="11"/>
      <c r="AM14" s="12"/>
      <c r="AV14" s="12"/>
      <c r="BE14" s="12"/>
      <c r="BN14" s="12"/>
      <c r="BW14" s="12"/>
      <c r="CF14" s="12"/>
    </row>
    <row r="15" spans="1:87">
      <c r="A15" s="581" t="s">
        <v>1533</v>
      </c>
      <c r="B15">
        <v>1.2859</v>
      </c>
      <c r="C15">
        <v>0.1061</v>
      </c>
      <c r="D15">
        <v>1.8844000000000001</v>
      </c>
      <c r="E15">
        <v>0.55300000000000005</v>
      </c>
      <c r="F15">
        <v>1.42</v>
      </c>
      <c r="G15">
        <v>1.5104</v>
      </c>
      <c r="N15" s="15"/>
      <c r="U15" s="13"/>
      <c r="V15" s="23"/>
      <c r="Y15" s="11"/>
      <c r="AM15" s="12"/>
      <c r="AV15" s="12"/>
    </row>
    <row r="16" spans="1:87">
      <c r="A16" s="581" t="s">
        <v>1534</v>
      </c>
      <c r="B16">
        <v>1</v>
      </c>
      <c r="C16">
        <v>0</v>
      </c>
      <c r="D16">
        <v>0</v>
      </c>
      <c r="E16">
        <v>0</v>
      </c>
      <c r="F16">
        <v>0</v>
      </c>
      <c r="G16">
        <v>0</v>
      </c>
      <c r="U16" s="13"/>
      <c r="V16" s="23"/>
      <c r="Y16" s="11"/>
      <c r="AM16" s="12"/>
      <c r="AV16" s="12"/>
      <c r="BE16" s="12"/>
      <c r="BN16" s="12"/>
      <c r="BW16" s="12"/>
      <c r="CF16" s="12"/>
    </row>
    <row r="17" spans="1:87">
      <c r="A17" s="581" t="s">
        <v>1535</v>
      </c>
      <c r="B17">
        <v>1.6692</v>
      </c>
      <c r="C17">
        <v>0.1231</v>
      </c>
      <c r="D17">
        <v>2.7187000000000001</v>
      </c>
      <c r="E17">
        <v>0.71060000000000001</v>
      </c>
      <c r="F17">
        <v>2.5322</v>
      </c>
      <c r="G17">
        <v>2.0991</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1.4086000000000001</v>
      </c>
      <c r="C18">
        <v>0.1186</v>
      </c>
      <c r="D18">
        <v>2.3176999999999999</v>
      </c>
      <c r="E18">
        <v>0.73470000000000002</v>
      </c>
      <c r="F18">
        <v>1.6116999999999999</v>
      </c>
      <c r="G18">
        <v>1.704</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1.39</v>
      </c>
      <c r="C19">
        <v>0.1203</v>
      </c>
      <c r="D19">
        <v>1.9610000000000001</v>
      </c>
      <c r="E19">
        <v>0.80840000000000001</v>
      </c>
      <c r="F19">
        <v>1.5839000000000001</v>
      </c>
      <c r="G19">
        <v>1.8705000000000001</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1.4228000000000001</v>
      </c>
      <c r="C20">
        <v>0.11600000000000001</v>
      </c>
      <c r="D20">
        <v>2.5893999999999999</v>
      </c>
      <c r="E20">
        <v>0.4854</v>
      </c>
      <c r="F20">
        <v>1.6512</v>
      </c>
      <c r="G20">
        <v>1.6525000000000001</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1.4396</v>
      </c>
      <c r="C21">
        <v>0.2707</v>
      </c>
      <c r="D21">
        <v>6.6151</v>
      </c>
      <c r="E21">
        <v>0.57299999999999995</v>
      </c>
      <c r="F21">
        <v>1.2639</v>
      </c>
      <c r="G21">
        <v>1.2488999999999999</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1.3177000000000001</v>
      </c>
      <c r="C22">
        <v>0.249</v>
      </c>
      <c r="D22">
        <v>6.7727000000000004</v>
      </c>
      <c r="E22">
        <v>0.84389999999999998</v>
      </c>
      <c r="F22">
        <v>1.1922999999999999</v>
      </c>
      <c r="G22">
        <v>1.1657</v>
      </c>
      <c r="K22" s="17"/>
      <c r="L22" s="17"/>
      <c r="M22" s="17"/>
      <c r="N22" s="17"/>
      <c r="O22" s="17"/>
      <c r="P22" s="17"/>
      <c r="U22" s="13"/>
      <c r="V22" s="23"/>
      <c r="Y22" s="11"/>
      <c r="AM22" s="12"/>
      <c r="AV22" s="12"/>
      <c r="BE22" s="12"/>
      <c r="BN22" s="12"/>
      <c r="BW22" s="12"/>
      <c r="CF22" s="12"/>
    </row>
    <row r="23" spans="1:87">
      <c r="A23" s="581" t="s">
        <v>1541</v>
      </c>
      <c r="B23">
        <v>1.2238</v>
      </c>
      <c r="C23">
        <v>6.1600000000000002E-2</v>
      </c>
      <c r="D23">
        <v>1.0746</v>
      </c>
      <c r="E23">
        <v>0.46779999999999999</v>
      </c>
      <c r="F23">
        <v>1.6732</v>
      </c>
      <c r="G23">
        <v>1.8124</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1.4777</v>
      </c>
      <c r="C24">
        <v>0.1255</v>
      </c>
      <c r="D24">
        <v>2.7280000000000002</v>
      </c>
      <c r="E24">
        <v>0.6492</v>
      </c>
      <c r="F24">
        <v>1.7990999999999999</v>
      </c>
      <c r="G24">
        <v>1.7887999999999999</v>
      </c>
      <c r="K24" s="17"/>
      <c r="L24" s="17"/>
      <c r="M24" s="17"/>
      <c r="N24" s="18"/>
      <c r="O24" s="18"/>
      <c r="P24" s="17"/>
      <c r="R24" s="11"/>
      <c r="U24" s="13"/>
      <c r="V24" s="23"/>
      <c r="Y24" s="11"/>
      <c r="AM24" s="12"/>
      <c r="AV24" s="12"/>
      <c r="BE24" s="12"/>
      <c r="BN24" s="12"/>
      <c r="BW24" s="12"/>
      <c r="CF24" s="12"/>
    </row>
    <row r="25" spans="1:87">
      <c r="A25" s="581" t="s">
        <v>1543</v>
      </c>
      <c r="B25">
        <v>1</v>
      </c>
      <c r="C25">
        <v>0</v>
      </c>
      <c r="D25">
        <v>0</v>
      </c>
      <c r="E25">
        <v>0</v>
      </c>
      <c r="F25">
        <v>0</v>
      </c>
      <c r="G25">
        <v>0</v>
      </c>
      <c r="K25" s="17"/>
      <c r="L25" s="17"/>
      <c r="M25" s="17"/>
      <c r="N25" s="18"/>
      <c r="O25" s="17"/>
      <c r="P25" s="17"/>
      <c r="U25" s="13"/>
      <c r="V25" s="23"/>
      <c r="Y25" s="11"/>
      <c r="AM25" s="12"/>
      <c r="AV25" s="12"/>
      <c r="BE25" s="12"/>
      <c r="BN25" s="12"/>
      <c r="BW25" s="12"/>
      <c r="CF25" s="12"/>
    </row>
    <row r="26" spans="1:87">
      <c r="A26" s="581" t="s">
        <v>1544</v>
      </c>
      <c r="B26">
        <v>1.6289</v>
      </c>
      <c r="C26">
        <v>0.12470000000000001</v>
      </c>
      <c r="D26">
        <v>1.7334000000000001</v>
      </c>
      <c r="E26">
        <v>0.7157</v>
      </c>
      <c r="F26">
        <v>2.2360000000000002</v>
      </c>
      <c r="G26">
        <v>3.1415000000000002</v>
      </c>
      <c r="Y26" s="11"/>
      <c r="AM26" s="12"/>
      <c r="AV26" s="12"/>
      <c r="BE26" s="12"/>
      <c r="BN26" s="12"/>
      <c r="BW26" s="12"/>
      <c r="CF26" s="12"/>
    </row>
    <row r="27" spans="1:87">
      <c r="A27" s="581" t="s">
        <v>1545</v>
      </c>
      <c r="B27">
        <v>1.3682000000000001</v>
      </c>
      <c r="C27">
        <v>9.4100000000000003E-2</v>
      </c>
      <c r="D27">
        <v>1.8579000000000001</v>
      </c>
      <c r="E27">
        <v>0.58069999999999999</v>
      </c>
      <c r="F27">
        <v>1.7077</v>
      </c>
      <c r="G27">
        <v>1.7208000000000001</v>
      </c>
      <c r="M27" s="12"/>
      <c r="Y27" s="11"/>
      <c r="AM27" s="12"/>
      <c r="AV27" s="12"/>
    </row>
    <row r="28" spans="1:87">
      <c r="A28" s="581" t="s">
        <v>1546</v>
      </c>
      <c r="B28">
        <v>1.452</v>
      </c>
      <c r="C28">
        <v>0.192</v>
      </c>
      <c r="D28">
        <v>3.1532</v>
      </c>
      <c r="E28">
        <v>0.93189999999999995</v>
      </c>
      <c r="F28">
        <v>1.3972</v>
      </c>
      <c r="G28">
        <v>1.6471</v>
      </c>
      <c r="M28" s="13"/>
      <c r="N28" s="12"/>
      <c r="O28" s="14"/>
      <c r="Q28" s="12"/>
      <c r="Y28" s="11"/>
      <c r="AM28" s="12"/>
      <c r="AV28" s="12"/>
      <c r="BE28" s="12"/>
      <c r="BN28" s="12"/>
      <c r="BW28" s="12"/>
      <c r="CF28" s="12"/>
    </row>
    <row r="29" spans="1:87">
      <c r="A29" s="581" t="s">
        <v>1547</v>
      </c>
      <c r="B29">
        <v>1.4061999999999999</v>
      </c>
      <c r="C29">
        <v>0.1724</v>
      </c>
      <c r="D29">
        <v>5.6376999999999997</v>
      </c>
      <c r="E29">
        <v>0.91559999999999997</v>
      </c>
      <c r="F29">
        <v>1.367</v>
      </c>
      <c r="G29">
        <v>1.2516</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1.2402</v>
      </c>
      <c r="C30">
        <v>8.7400000000000005E-2</v>
      </c>
      <c r="D30">
        <v>1.7231000000000001</v>
      </c>
      <c r="E30">
        <v>0.57689999999999997</v>
      </c>
      <c r="F30">
        <v>1.5138</v>
      </c>
      <c r="G30">
        <v>1.8290999999999999</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1.5782</v>
      </c>
      <c r="C31">
        <v>0.2545</v>
      </c>
      <c r="D31">
        <v>3.9544000000000001</v>
      </c>
      <c r="E31">
        <v>0.76339999999999997</v>
      </c>
      <c r="F31">
        <v>1.3736999999999999</v>
      </c>
      <c r="G31">
        <v>1.6224000000000001</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1.3209</v>
      </c>
      <c r="C32">
        <v>0.18720000000000001</v>
      </c>
      <c r="D32">
        <v>2.6549</v>
      </c>
      <c r="E32">
        <v>0.60670000000000002</v>
      </c>
      <c r="F32">
        <v>1.2512000000000001</v>
      </c>
      <c r="G32">
        <v>1.5267999999999999</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1.4147000000000001</v>
      </c>
      <c r="C33">
        <v>0.1411</v>
      </c>
      <c r="D33">
        <v>3.2111000000000001</v>
      </c>
      <c r="E33">
        <v>0.72060000000000002</v>
      </c>
      <c r="F33">
        <v>1.5478000000000001</v>
      </c>
      <c r="G33">
        <v>1.6125</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1.3701000000000001</v>
      </c>
      <c r="C34">
        <v>0.35720000000000002</v>
      </c>
      <c r="D34">
        <v>10.8367</v>
      </c>
      <c r="E34">
        <v>0.93140000000000001</v>
      </c>
      <c r="F34">
        <v>1.1398999999999999</v>
      </c>
      <c r="G34">
        <v>1.1141000000000001</v>
      </c>
      <c r="K34" s="17"/>
      <c r="L34" s="17"/>
      <c r="M34" s="17"/>
      <c r="N34" s="17"/>
      <c r="O34" s="17"/>
      <c r="P34" s="17"/>
      <c r="Y34" s="11"/>
      <c r="AM34" s="12"/>
      <c r="AV34" s="12"/>
      <c r="BE34" s="12"/>
      <c r="BN34" s="12"/>
      <c r="BW34" s="12"/>
      <c r="CF34" s="12"/>
    </row>
    <row r="35" spans="1:87">
      <c r="A35" s="581" t="s">
        <v>1553</v>
      </c>
      <c r="B35">
        <v>1.6172</v>
      </c>
      <c r="C35">
        <v>0.5524</v>
      </c>
      <c r="D35">
        <v>7.3929999999999998</v>
      </c>
      <c r="E35">
        <v>0.99339999999999995</v>
      </c>
      <c r="F35">
        <v>1.1619999999999999</v>
      </c>
      <c r="G35">
        <v>1.3594999999999999</v>
      </c>
      <c r="K35" s="17"/>
      <c r="L35" s="17"/>
      <c r="M35" s="17"/>
      <c r="N35" s="18"/>
      <c r="O35" s="18"/>
      <c r="P35" s="17"/>
      <c r="Y35" s="11"/>
      <c r="AM35" s="12"/>
      <c r="AP35" s="12"/>
      <c r="AV35" s="12"/>
      <c r="AY35" s="12"/>
      <c r="BE35" s="12"/>
      <c r="BH35" s="12"/>
      <c r="BN35" s="12"/>
      <c r="BQ35" s="12"/>
      <c r="BW35" s="12"/>
      <c r="BZ35" s="12"/>
      <c r="CF35" s="12"/>
      <c r="CI35" s="12"/>
    </row>
    <row r="36" spans="1:87">
      <c r="A36" s="581" t="s">
        <v>1554</v>
      </c>
      <c r="B36">
        <v>1.2948999999999999</v>
      </c>
      <c r="C36">
        <v>0.17069999999999999</v>
      </c>
      <c r="D36">
        <v>3.6596000000000002</v>
      </c>
      <c r="E36">
        <v>0.87760000000000005</v>
      </c>
      <c r="F36">
        <v>1.2621</v>
      </c>
      <c r="G36">
        <v>1.3208</v>
      </c>
      <c r="K36" s="17"/>
      <c r="L36" s="17"/>
      <c r="M36" s="17"/>
      <c r="N36" s="18"/>
      <c r="O36" s="18"/>
      <c r="P36" s="17"/>
      <c r="Y36" s="11"/>
      <c r="AM36" s="12"/>
      <c r="AV36" s="12"/>
      <c r="BE36" s="12"/>
      <c r="BN36" s="12"/>
      <c r="BW36" s="12"/>
      <c r="CF36" s="12"/>
    </row>
    <row r="37" spans="1:87">
      <c r="A37" s="581" t="s">
        <v>1555</v>
      </c>
      <c r="B37">
        <v>1.3934</v>
      </c>
      <c r="C37">
        <v>0.23069999999999999</v>
      </c>
      <c r="D37">
        <v>5.7934999999999999</v>
      </c>
      <c r="E37">
        <v>0.97960000000000003</v>
      </c>
      <c r="F37">
        <v>1.2547999999999999</v>
      </c>
      <c r="G37">
        <v>1.2736000000000001</v>
      </c>
      <c r="K37" s="17"/>
      <c r="L37" s="17"/>
      <c r="M37" s="17"/>
      <c r="N37" s="17"/>
      <c r="O37" s="17"/>
      <c r="P37" s="17"/>
      <c r="Y37" s="11"/>
    </row>
    <row r="38" spans="1:87">
      <c r="A38" s="581" t="s">
        <v>1556</v>
      </c>
      <c r="B38">
        <v>1.597</v>
      </c>
      <c r="C38">
        <v>0.1409</v>
      </c>
      <c r="D38">
        <v>2.7744</v>
      </c>
      <c r="E38">
        <v>0.84450000000000003</v>
      </c>
      <c r="F38">
        <v>2.0478999999999998</v>
      </c>
      <c r="G38">
        <v>2.4468999999999999</v>
      </c>
      <c r="Y38" s="11"/>
    </row>
    <row r="39" spans="1:87">
      <c r="A39" s="581" t="s">
        <v>1557</v>
      </c>
      <c r="B39">
        <v>1.3285</v>
      </c>
      <c r="C39">
        <v>9.9900000000000003E-2</v>
      </c>
      <c r="D39">
        <v>2.5186000000000002</v>
      </c>
      <c r="E39">
        <v>0.77980000000000005</v>
      </c>
      <c r="F39">
        <v>1.633</v>
      </c>
      <c r="G39">
        <v>1.5909</v>
      </c>
      <c r="Y39" s="11"/>
    </row>
    <row r="40" spans="1:87">
      <c r="A40" s="581" t="s">
        <v>1558</v>
      </c>
      <c r="B40">
        <v>1.2667999999999999</v>
      </c>
      <c r="C40">
        <v>0.15049999999999999</v>
      </c>
      <c r="D40">
        <v>1.8924000000000001</v>
      </c>
      <c r="E40">
        <v>0.53659999999999997</v>
      </c>
      <c r="F40">
        <v>1.2585999999999999</v>
      </c>
      <c r="G40">
        <v>1.6823999999999999</v>
      </c>
      <c r="N40" s="12"/>
      <c r="O40" s="14"/>
      <c r="Q40" s="12"/>
      <c r="Y40" s="11"/>
    </row>
    <row r="41" spans="1:87">
      <c r="A41" s="581" t="s">
        <v>1559</v>
      </c>
      <c r="B41">
        <v>1.3914</v>
      </c>
      <c r="C41">
        <v>8.3000000000000004E-2</v>
      </c>
      <c r="D41">
        <v>1.4359</v>
      </c>
      <c r="E41">
        <v>0.81079999999999997</v>
      </c>
      <c r="F41">
        <v>2.0036999999999998</v>
      </c>
      <c r="G41">
        <v>2.5689000000000002</v>
      </c>
      <c r="N41" s="12"/>
      <c r="O41" s="14"/>
      <c r="Q41" s="12"/>
      <c r="Y41" s="11"/>
    </row>
    <row r="42" spans="1:87">
      <c r="A42" s="581" t="s">
        <v>1560</v>
      </c>
      <c r="B42">
        <v>1.5334000000000001</v>
      </c>
      <c r="C42">
        <v>0.1048</v>
      </c>
      <c r="D42">
        <v>1.9472</v>
      </c>
      <c r="E42">
        <v>0.81079999999999997</v>
      </c>
      <c r="F42">
        <v>2.456</v>
      </c>
      <c r="G42">
        <v>3.4998999999999998</v>
      </c>
      <c r="Y42" s="11"/>
    </row>
    <row r="43" spans="1:87">
      <c r="A43" s="581" t="s">
        <v>1561</v>
      </c>
      <c r="B43">
        <v>1.657</v>
      </c>
      <c r="C43">
        <v>0.13550000000000001</v>
      </c>
      <c r="D43">
        <v>2.5586000000000002</v>
      </c>
      <c r="E43">
        <v>0.93989999999999996</v>
      </c>
      <c r="F43">
        <v>2.0263</v>
      </c>
      <c r="G43">
        <v>2.3530000000000002</v>
      </c>
      <c r="Q43" s="12"/>
      <c r="Y43" s="11"/>
    </row>
    <row r="44" spans="1:87">
      <c r="A44" s="581" t="s">
        <v>1562</v>
      </c>
      <c r="B44">
        <v>1.8916999999999999</v>
      </c>
      <c r="C44">
        <v>0.18890000000000001</v>
      </c>
      <c r="D44">
        <v>3.6374</v>
      </c>
      <c r="E44">
        <v>0.87029999999999996</v>
      </c>
      <c r="F44">
        <v>2.0118999999999998</v>
      </c>
      <c r="G44">
        <v>2.2707999999999999</v>
      </c>
      <c r="Y44" s="11"/>
    </row>
    <row r="45" spans="1:87">
      <c r="A45" s="581" t="s">
        <v>1563</v>
      </c>
      <c r="B45">
        <v>1.5257000000000001</v>
      </c>
      <c r="C45">
        <v>0.13739999999999999</v>
      </c>
      <c r="D45">
        <v>2.2823000000000002</v>
      </c>
      <c r="E45">
        <v>0.97470000000000001</v>
      </c>
      <c r="F45">
        <v>1.6126</v>
      </c>
      <c r="G45">
        <v>1.8331</v>
      </c>
      <c r="Q45" s="12"/>
      <c r="Y45" s="11"/>
    </row>
    <row r="46" spans="1:87">
      <c r="A46" s="581" t="s">
        <v>1564</v>
      </c>
      <c r="B46">
        <v>2.0884999999999998</v>
      </c>
      <c r="C46">
        <v>0.15590000000000001</v>
      </c>
      <c r="D46">
        <v>4.9555999999999996</v>
      </c>
      <c r="E46">
        <v>0.94630000000000003</v>
      </c>
      <c r="F46">
        <v>3.2427999999999999</v>
      </c>
      <c r="G46">
        <v>1.7504</v>
      </c>
      <c r="Q46" s="16"/>
      <c r="Y46" s="11"/>
    </row>
    <row r="47" spans="1:87">
      <c r="A47" s="581" t="s">
        <v>1565</v>
      </c>
      <c r="B47">
        <v>1.4412</v>
      </c>
      <c r="C47">
        <v>7.5600000000000001E-2</v>
      </c>
      <c r="D47">
        <v>3.7223000000000002</v>
      </c>
      <c r="E47">
        <v>0.95720000000000005</v>
      </c>
      <c r="F47">
        <v>2.2599</v>
      </c>
      <c r="G47">
        <v>1.3555999999999999</v>
      </c>
      <c r="Q47" s="16"/>
      <c r="Y47" s="11"/>
    </row>
    <row r="48" spans="1:87">
      <c r="A48" s="581" t="s">
        <v>1566</v>
      </c>
      <c r="B48">
        <v>1.2959000000000001</v>
      </c>
      <c r="C48">
        <v>0.14810000000000001</v>
      </c>
      <c r="D48">
        <v>2.4590999999999998</v>
      </c>
      <c r="E48">
        <v>0.91410000000000002</v>
      </c>
      <c r="F48">
        <v>1.2974000000000001</v>
      </c>
      <c r="G48">
        <v>1.4945999999999999</v>
      </c>
      <c r="Y48" s="11"/>
    </row>
    <row r="49" spans="1:25">
      <c r="A49" s="581" t="s">
        <v>1567</v>
      </c>
      <c r="B49">
        <v>1.4572000000000001</v>
      </c>
      <c r="C49">
        <v>0.2417</v>
      </c>
      <c r="D49">
        <v>4.0407999999999999</v>
      </c>
      <c r="E49">
        <v>0.99909999999999999</v>
      </c>
      <c r="F49">
        <v>1.2991999999999999</v>
      </c>
      <c r="G49">
        <v>1.5048999999999999</v>
      </c>
      <c r="Y49" s="11"/>
    </row>
    <row r="50" spans="1:25">
      <c r="A50" s="581" t="s">
        <v>1568</v>
      </c>
      <c r="B50">
        <v>1.4529000000000001</v>
      </c>
      <c r="C50">
        <v>0.13900000000000001</v>
      </c>
      <c r="D50">
        <v>1.9478</v>
      </c>
      <c r="E50">
        <v>0.92279999999999995</v>
      </c>
      <c r="F50">
        <v>1.6389</v>
      </c>
      <c r="G50">
        <v>2.4765000000000001</v>
      </c>
      <c r="Y50" s="11"/>
    </row>
    <row r="51" spans="1:25">
      <c r="A51" s="581" t="s">
        <v>1569</v>
      </c>
      <c r="B51">
        <v>1.3906000000000001</v>
      </c>
      <c r="C51">
        <v>0.21199999999999999</v>
      </c>
      <c r="D51">
        <v>7.4268000000000001</v>
      </c>
      <c r="E51">
        <v>0.90980000000000005</v>
      </c>
      <c r="F51">
        <v>1.2737000000000001</v>
      </c>
      <c r="G51">
        <v>1.1860999999999999</v>
      </c>
      <c r="Y51" s="11"/>
    </row>
    <row r="52" spans="1:25">
      <c r="A52" s="581" t="s">
        <v>1570</v>
      </c>
      <c r="B52">
        <v>1.5199</v>
      </c>
      <c r="C52">
        <v>0.32169999999999999</v>
      </c>
      <c r="D52">
        <v>5.7122000000000002</v>
      </c>
      <c r="E52">
        <v>0.83679999999999999</v>
      </c>
      <c r="F52">
        <v>1.2439</v>
      </c>
      <c r="G52">
        <v>1.3685</v>
      </c>
      <c r="Y52" s="11"/>
    </row>
    <row r="53" spans="1:25">
      <c r="A53" s="581" t="s">
        <v>1571</v>
      </c>
      <c r="B53">
        <v>1.4279999999999999</v>
      </c>
      <c r="C53">
        <v>0.25440000000000002</v>
      </c>
      <c r="D53">
        <v>8.2277000000000005</v>
      </c>
      <c r="E53">
        <v>0.91990000000000005</v>
      </c>
      <c r="F53">
        <v>1.2232000000000001</v>
      </c>
      <c r="G53">
        <v>1.1774</v>
      </c>
      <c r="K53" s="17"/>
      <c r="N53" s="17"/>
      <c r="O53" s="17"/>
      <c r="P53" s="17"/>
      <c r="Y53" s="11"/>
    </row>
    <row r="54" spans="1:25">
      <c r="A54" s="581" t="s">
        <v>1572</v>
      </c>
      <c r="B54">
        <v>1.5358000000000001</v>
      </c>
      <c r="C54">
        <v>0.32</v>
      </c>
      <c r="D54">
        <v>5.7187999999999999</v>
      </c>
      <c r="E54">
        <v>1.0168999999999999</v>
      </c>
      <c r="F54">
        <v>1.2515000000000001</v>
      </c>
      <c r="G54">
        <v>1.3771</v>
      </c>
      <c r="K54" s="17"/>
      <c r="N54" s="12"/>
      <c r="O54" s="12"/>
      <c r="Y54" s="11"/>
    </row>
    <row r="55" spans="1:25">
      <c r="A55" s="581" t="s">
        <v>1573</v>
      </c>
      <c r="B55">
        <v>1.5915999999999999</v>
      </c>
      <c r="C55">
        <v>0.21490000000000001</v>
      </c>
      <c r="D55">
        <v>4.2850999999999999</v>
      </c>
      <c r="E55">
        <v>0.9</v>
      </c>
      <c r="F55">
        <v>1.4015</v>
      </c>
      <c r="G55">
        <v>1.5775999999999999</v>
      </c>
      <c r="K55" s="17"/>
      <c r="N55" s="12"/>
      <c r="O55" s="12"/>
      <c r="Y55" s="11"/>
    </row>
    <row r="56" spans="1:25">
      <c r="A56" s="581" t="s">
        <v>1574</v>
      </c>
      <c r="B56">
        <v>1.4564999999999999</v>
      </c>
      <c r="C56">
        <v>0.26769999999999999</v>
      </c>
      <c r="D56">
        <v>8.4123000000000001</v>
      </c>
      <c r="E56">
        <v>0.95699999999999996</v>
      </c>
      <c r="F56">
        <v>1.2323</v>
      </c>
      <c r="G56">
        <v>1.1860999999999999</v>
      </c>
      <c r="K56" s="17"/>
      <c r="Y56" s="11"/>
    </row>
    <row r="57" spans="1:25">
      <c r="A57" s="581" t="s">
        <v>1575</v>
      </c>
      <c r="B57">
        <v>1.5363</v>
      </c>
      <c r="C57">
        <v>0.31440000000000001</v>
      </c>
      <c r="D57">
        <v>13.044700000000001</v>
      </c>
      <c r="E57">
        <v>0.9607</v>
      </c>
      <c r="F57">
        <v>1.2344999999999999</v>
      </c>
      <c r="G57">
        <v>1.1335</v>
      </c>
      <c r="Y57" s="11"/>
    </row>
    <row r="58" spans="1:25">
      <c r="A58" s="581" t="s">
        <v>1576</v>
      </c>
      <c r="B58">
        <v>1.4330000000000001</v>
      </c>
      <c r="C58">
        <v>0.2135</v>
      </c>
      <c r="D58">
        <v>7.2064000000000004</v>
      </c>
      <c r="E58">
        <v>0.86650000000000005</v>
      </c>
      <c r="F58">
        <v>1.3137000000000001</v>
      </c>
      <c r="G58">
        <v>1.2242999999999999</v>
      </c>
      <c r="Y58" s="11"/>
    </row>
    <row r="59" spans="1:25">
      <c r="A59" s="581" t="s">
        <v>1577</v>
      </c>
      <c r="B59">
        <v>1.3824000000000001</v>
      </c>
      <c r="C59">
        <v>0.1641</v>
      </c>
      <c r="D59">
        <v>8.0007000000000001</v>
      </c>
      <c r="E59">
        <v>0.88470000000000004</v>
      </c>
      <c r="F59">
        <v>1.3475999999999999</v>
      </c>
      <c r="G59">
        <v>1.1496</v>
      </c>
      <c r="N59" s="12"/>
      <c r="O59" s="14"/>
      <c r="Q59" s="12"/>
      <c r="Y59" s="11"/>
    </row>
    <row r="60" spans="1:25">
      <c r="A60" s="581" t="s">
        <v>1578</v>
      </c>
      <c r="B60">
        <v>1.5061</v>
      </c>
      <c r="C60">
        <v>0.20219999999999999</v>
      </c>
      <c r="D60">
        <v>5.6753999999999998</v>
      </c>
      <c r="E60">
        <v>0.85429999999999995</v>
      </c>
      <c r="F60">
        <v>1.4232</v>
      </c>
      <c r="G60">
        <v>1.3398000000000001</v>
      </c>
      <c r="N60" s="12"/>
      <c r="O60" s="14"/>
      <c r="Q60" s="12"/>
      <c r="Y60" s="11"/>
    </row>
    <row r="61" spans="1:25">
      <c r="A61" s="581" t="s">
        <v>1579</v>
      </c>
      <c r="B61">
        <v>1.4467000000000001</v>
      </c>
      <c r="C61">
        <v>0.2145</v>
      </c>
      <c r="D61">
        <v>9.7684999999999995</v>
      </c>
      <c r="E61">
        <v>0.81220000000000003</v>
      </c>
      <c r="F61">
        <v>1.3005</v>
      </c>
      <c r="G61">
        <v>1.1362000000000001</v>
      </c>
      <c r="Y61" s="11"/>
    </row>
    <row r="62" spans="1:25">
      <c r="A62" s="581" t="s">
        <v>1580</v>
      </c>
      <c r="B62">
        <v>1.5851</v>
      </c>
      <c r="C62">
        <v>0.2974</v>
      </c>
      <c r="D62">
        <v>7.5679999999999996</v>
      </c>
      <c r="E62">
        <v>0.9032</v>
      </c>
      <c r="F62">
        <v>1.2864</v>
      </c>
      <c r="G62">
        <v>1.2755000000000001</v>
      </c>
      <c r="Q62" s="12"/>
      <c r="Y62" s="11"/>
    </row>
    <row r="63" spans="1:25">
      <c r="A63" s="581" t="s">
        <v>1581</v>
      </c>
      <c r="B63">
        <v>0.77400000000000002</v>
      </c>
      <c r="C63">
        <v>0.09</v>
      </c>
      <c r="D63">
        <v>2.5468999999999999</v>
      </c>
      <c r="E63">
        <v>0.47910000000000003</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sheetPr codeName="Sheet29">
    <tabColor rgb="FFFFFF00"/>
  </sheetPr>
  <dimension ref="A1:CX120"/>
  <sheetViews>
    <sheetView zoomScale="70" zoomScaleNormal="70" workbookViewId="0">
      <selection activeCell="B2" sqref="B2:G63"/>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1.4695</v>
      </c>
      <c r="C2">
        <v>0.38350000000000001</v>
      </c>
      <c r="D2">
        <v>17.903099999999998</v>
      </c>
      <c r="E2">
        <v>0.68310000000000004</v>
      </c>
      <c r="F2">
        <v>1.4024000000000001</v>
      </c>
      <c r="G2">
        <v>1.2181999999999999</v>
      </c>
    </row>
    <row r="3" spans="1:87">
      <c r="A3" s="581" t="s">
        <v>1521</v>
      </c>
      <c r="B3">
        <v>1.7696000000000001</v>
      </c>
      <c r="C3">
        <v>0.40539999999999998</v>
      </c>
      <c r="D3">
        <v>18.8355</v>
      </c>
      <c r="E3">
        <v>1.1094999999999999</v>
      </c>
      <c r="F3">
        <v>1.3896999999999999</v>
      </c>
      <c r="G3">
        <v>1.2533000000000001</v>
      </c>
    </row>
    <row r="4" spans="1:87">
      <c r="A4" s="581" t="s">
        <v>1522</v>
      </c>
      <c r="B4">
        <v>1.3688</v>
      </c>
      <c r="C4">
        <v>0.25990000000000002</v>
      </c>
      <c r="D4">
        <v>8.2454000000000001</v>
      </c>
      <c r="E4">
        <v>0.86160000000000003</v>
      </c>
      <c r="F4">
        <v>1.6628000000000001</v>
      </c>
      <c r="G4">
        <v>1.3509</v>
      </c>
      <c r="N4" s="17"/>
      <c r="U4" s="21"/>
      <c r="X4" s="21"/>
    </row>
    <row r="5" spans="1:87">
      <c r="A5" s="581" t="s">
        <v>1523</v>
      </c>
      <c r="B5">
        <v>1.3192999999999999</v>
      </c>
      <c r="C5">
        <v>0.23430000000000001</v>
      </c>
      <c r="D5">
        <v>4.5171000000000001</v>
      </c>
      <c r="E5">
        <v>0.77229999999999999</v>
      </c>
      <c r="F5">
        <v>1.5149999999999999</v>
      </c>
      <c r="G5">
        <v>1.6180000000000001</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1.4041999999999999</v>
      </c>
      <c r="C6">
        <v>0.19359999999999999</v>
      </c>
      <c r="D6">
        <v>3.9866000000000001</v>
      </c>
      <c r="E6">
        <v>0.6583</v>
      </c>
      <c r="F6">
        <v>2.4950999999999999</v>
      </c>
      <c r="G6">
        <v>2.1972</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1.2225999999999999</v>
      </c>
      <c r="C7">
        <v>0.2089</v>
      </c>
      <c r="D7">
        <v>2.8950999999999998</v>
      </c>
      <c r="E7">
        <v>0.83089999999999997</v>
      </c>
      <c r="F7">
        <v>1.38</v>
      </c>
      <c r="G7">
        <v>1.9731000000000001</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1.6032999999999999</v>
      </c>
      <c r="C8">
        <v>0.4698</v>
      </c>
      <c r="D8">
        <v>9.7704000000000004</v>
      </c>
      <c r="E8">
        <v>0.88470000000000004</v>
      </c>
      <c r="F8">
        <v>1.4838</v>
      </c>
      <c r="G8">
        <v>1.6031</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1.5704</v>
      </c>
      <c r="C9">
        <v>0.4667</v>
      </c>
      <c r="D9">
        <v>11.943</v>
      </c>
      <c r="E9">
        <v>0.68559999999999999</v>
      </c>
      <c r="F9">
        <v>1.4671000000000001</v>
      </c>
      <c r="G9">
        <v>1.4107000000000001</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1.4328000000000001</v>
      </c>
      <c r="C10">
        <v>0.2135</v>
      </c>
      <c r="D10">
        <v>4.3451000000000004</v>
      </c>
      <c r="E10">
        <v>0.64859999999999995</v>
      </c>
      <c r="F10">
        <v>2.0442999999999998</v>
      </c>
      <c r="G10">
        <v>2.0716999999999999</v>
      </c>
      <c r="U10" s="13"/>
      <c r="V10" s="23"/>
      <c r="W10" s="26"/>
      <c r="Y10" s="11"/>
      <c r="AM10" s="12"/>
      <c r="AV10" s="12"/>
      <c r="BE10" s="12"/>
      <c r="BN10" s="12"/>
      <c r="BW10" s="12"/>
      <c r="CF10" s="12"/>
    </row>
    <row r="11" spans="1:87">
      <c r="A11" s="581" t="s">
        <v>1529</v>
      </c>
      <c r="B11">
        <v>1.3103</v>
      </c>
      <c r="C11">
        <v>0.23039999999999999</v>
      </c>
      <c r="D11">
        <v>5.4234</v>
      </c>
      <c r="E11">
        <v>0.37509999999999999</v>
      </c>
      <c r="F11">
        <v>1.4741</v>
      </c>
      <c r="G11">
        <v>1.4498</v>
      </c>
      <c r="U11" s="13"/>
      <c r="V11" s="23"/>
      <c r="Y11" s="11"/>
      <c r="AM11" s="12"/>
      <c r="AP11" s="12"/>
      <c r="AV11" s="12"/>
      <c r="AY11" s="12"/>
      <c r="BE11" s="12"/>
      <c r="BH11" s="12"/>
      <c r="BN11" s="12"/>
      <c r="BQ11" s="12"/>
      <c r="BW11" s="12"/>
      <c r="BZ11" s="12"/>
      <c r="CF11" s="12"/>
      <c r="CI11" s="12"/>
    </row>
    <row r="12" spans="1:87">
      <c r="A12" s="581" t="s">
        <v>1530</v>
      </c>
      <c r="B12">
        <v>1.4530000000000001</v>
      </c>
      <c r="C12">
        <v>0.36969999999999997</v>
      </c>
      <c r="D12">
        <v>7.1257999999999999</v>
      </c>
      <c r="E12">
        <v>0.71150000000000002</v>
      </c>
      <c r="F12">
        <v>1.4528000000000001</v>
      </c>
      <c r="G12">
        <v>1.5855999999999999</v>
      </c>
      <c r="N12" s="15"/>
      <c r="U12" s="13"/>
      <c r="V12" s="23"/>
      <c r="Y12" s="11"/>
      <c r="AM12" s="12"/>
      <c r="AV12" s="12"/>
      <c r="BE12" s="12"/>
      <c r="BN12" s="12"/>
      <c r="BW12" s="12"/>
      <c r="CF12" s="12"/>
    </row>
    <row r="13" spans="1:87">
      <c r="A13" s="581" t="s">
        <v>1531</v>
      </c>
      <c r="B13">
        <v>1.5371999999999999</v>
      </c>
      <c r="C13">
        <v>0.38919999999999999</v>
      </c>
      <c r="D13">
        <v>6.3605999999999998</v>
      </c>
      <c r="E13">
        <v>0.77829999999999999</v>
      </c>
      <c r="F13">
        <v>1.5589</v>
      </c>
      <c r="G13">
        <v>1.8804000000000001</v>
      </c>
      <c r="N13" s="16"/>
      <c r="U13" s="13"/>
      <c r="V13" s="23"/>
      <c r="Y13" s="11"/>
      <c r="AM13" s="12"/>
      <c r="AV13" s="12"/>
      <c r="BE13" s="12"/>
      <c r="BN13" s="12"/>
      <c r="BW13" s="12"/>
      <c r="CF13" s="12"/>
    </row>
    <row r="14" spans="1:87">
      <c r="A14" s="581" t="s">
        <v>1532</v>
      </c>
      <c r="B14">
        <v>1.3042</v>
      </c>
      <c r="C14">
        <v>0.29709999999999998</v>
      </c>
      <c r="D14">
        <v>4.6147</v>
      </c>
      <c r="E14">
        <v>0.89649999999999996</v>
      </c>
      <c r="F14">
        <v>1.3772</v>
      </c>
      <c r="G14">
        <v>1.6553</v>
      </c>
      <c r="N14" s="16"/>
      <c r="U14" s="13"/>
      <c r="V14" s="23"/>
      <c r="Y14" s="11"/>
      <c r="AM14" s="12"/>
      <c r="AV14" s="12"/>
      <c r="BE14" s="12"/>
      <c r="BN14" s="12"/>
      <c r="BW14" s="12"/>
      <c r="CF14" s="12"/>
    </row>
    <row r="15" spans="1:87">
      <c r="A15" s="581" t="s">
        <v>1533</v>
      </c>
      <c r="B15">
        <v>1.4157</v>
      </c>
      <c r="C15">
        <v>0.29730000000000001</v>
      </c>
      <c r="D15">
        <v>5.4390000000000001</v>
      </c>
      <c r="E15">
        <v>0.63819999999999999</v>
      </c>
      <c r="F15">
        <v>1.554</v>
      </c>
      <c r="G15">
        <v>1.7030000000000001</v>
      </c>
      <c r="N15" s="15"/>
      <c r="U15" s="13"/>
      <c r="V15" s="23"/>
      <c r="Y15" s="11"/>
      <c r="AM15" s="12"/>
      <c r="AV15" s="12"/>
    </row>
    <row r="16" spans="1:87">
      <c r="A16" s="581" t="s">
        <v>1534</v>
      </c>
      <c r="B16">
        <v>1</v>
      </c>
      <c r="C16">
        <v>0</v>
      </c>
      <c r="D16">
        <v>0</v>
      </c>
      <c r="E16">
        <v>0</v>
      </c>
      <c r="F16">
        <v>0</v>
      </c>
      <c r="G16">
        <v>0</v>
      </c>
      <c r="U16" s="13"/>
      <c r="V16" s="23"/>
      <c r="Y16" s="11"/>
      <c r="AM16" s="12"/>
      <c r="AV16" s="12"/>
      <c r="BE16" s="12"/>
      <c r="BN16" s="12"/>
      <c r="BW16" s="12"/>
      <c r="CF16" s="12"/>
    </row>
    <row r="17" spans="1:87">
      <c r="A17" s="581" t="s">
        <v>1535</v>
      </c>
      <c r="B17">
        <v>1</v>
      </c>
      <c r="C17">
        <v>0</v>
      </c>
      <c r="D17">
        <v>0</v>
      </c>
      <c r="E17">
        <v>0</v>
      </c>
      <c r="F17">
        <v>0</v>
      </c>
      <c r="G17">
        <v>0</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1.4192</v>
      </c>
      <c r="C18">
        <v>0.29220000000000002</v>
      </c>
      <c r="D18">
        <v>5.9062999999999999</v>
      </c>
      <c r="E18">
        <v>0.75570000000000004</v>
      </c>
      <c r="F18">
        <v>1.5754999999999999</v>
      </c>
      <c r="G18">
        <v>1.7237</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1.4843999999999999</v>
      </c>
      <c r="C19">
        <v>0.4274</v>
      </c>
      <c r="D19">
        <v>7.0231000000000003</v>
      </c>
      <c r="E19">
        <v>0.87470000000000003</v>
      </c>
      <c r="F19">
        <v>1.4046000000000001</v>
      </c>
      <c r="G19">
        <v>1.6719999999999999</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1.4462999999999999</v>
      </c>
      <c r="C20">
        <v>0.215</v>
      </c>
      <c r="D20">
        <v>4.5334000000000003</v>
      </c>
      <c r="E20">
        <v>0.53620000000000001</v>
      </c>
      <c r="F20">
        <v>2.4662000000000002</v>
      </c>
      <c r="G20">
        <v>2.3311999999999999</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1.3765000000000001</v>
      </c>
      <c r="C21">
        <v>0.28299999999999997</v>
      </c>
      <c r="D21">
        <v>6.8064</v>
      </c>
      <c r="E21">
        <v>0.54159999999999997</v>
      </c>
      <c r="F21">
        <v>1.5004999999999999</v>
      </c>
      <c r="G21">
        <v>1.4594</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1.4129</v>
      </c>
      <c r="C22">
        <v>0.41170000000000001</v>
      </c>
      <c r="D22">
        <v>11.2181</v>
      </c>
      <c r="E22">
        <v>0.90839999999999999</v>
      </c>
      <c r="F22">
        <v>1.3478000000000001</v>
      </c>
      <c r="G22">
        <v>1.32</v>
      </c>
      <c r="K22" s="17"/>
      <c r="L22" s="17"/>
      <c r="M22" s="17"/>
      <c r="N22" s="17"/>
      <c r="O22" s="17"/>
      <c r="P22" s="17"/>
      <c r="U22" s="13"/>
      <c r="V22" s="23"/>
      <c r="Y22" s="11"/>
      <c r="AM22" s="12"/>
      <c r="AV22" s="12"/>
      <c r="BE22" s="12"/>
      <c r="BN22" s="12"/>
      <c r="BW22" s="12"/>
      <c r="CF22" s="12"/>
    </row>
    <row r="23" spans="1:87">
      <c r="A23" s="581" t="s">
        <v>1541</v>
      </c>
      <c r="B23">
        <v>1.3661000000000001</v>
      </c>
      <c r="C23">
        <v>0.2341</v>
      </c>
      <c r="D23">
        <v>4.2313000000000001</v>
      </c>
      <c r="E23">
        <v>0.56000000000000005</v>
      </c>
      <c r="F23">
        <v>1.7000999999999999</v>
      </c>
      <c r="G23">
        <v>1.9077</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1.4963</v>
      </c>
      <c r="C24">
        <v>0.30780000000000002</v>
      </c>
      <c r="D24">
        <v>6.7492999999999999</v>
      </c>
      <c r="E24">
        <v>0.66669999999999996</v>
      </c>
      <c r="F24">
        <v>1.7313000000000001</v>
      </c>
      <c r="G24">
        <v>1.7367999999999999</v>
      </c>
      <c r="K24" s="17"/>
      <c r="L24" s="17"/>
      <c r="M24" s="17"/>
      <c r="N24" s="18"/>
      <c r="O24" s="18"/>
      <c r="P24" s="17"/>
      <c r="R24" s="11"/>
      <c r="U24" s="13"/>
      <c r="V24" s="23"/>
      <c r="Y24" s="11"/>
      <c r="AM24" s="12"/>
      <c r="AV24" s="12"/>
      <c r="BE24" s="12"/>
      <c r="BN24" s="12"/>
      <c r="BW24" s="12"/>
      <c r="CF24" s="12"/>
    </row>
    <row r="25" spans="1:87">
      <c r="A25" s="581" t="s">
        <v>1543</v>
      </c>
      <c r="B25">
        <v>1</v>
      </c>
      <c r="C25">
        <v>0</v>
      </c>
      <c r="D25">
        <v>0</v>
      </c>
      <c r="E25">
        <v>0</v>
      </c>
      <c r="F25">
        <v>0</v>
      </c>
      <c r="G25">
        <v>0</v>
      </c>
      <c r="K25" s="17"/>
      <c r="L25" s="17"/>
      <c r="M25" s="17"/>
      <c r="N25" s="18"/>
      <c r="O25" s="17"/>
      <c r="P25" s="17"/>
      <c r="U25" s="13"/>
      <c r="V25" s="23"/>
      <c r="Y25" s="11"/>
      <c r="AM25" s="12"/>
      <c r="AV25" s="12"/>
      <c r="BE25" s="12"/>
      <c r="BN25" s="12"/>
      <c r="BW25" s="12"/>
      <c r="CF25" s="12"/>
    </row>
    <row r="26" spans="1:87">
      <c r="A26" s="581" t="s">
        <v>1544</v>
      </c>
      <c r="B26">
        <v>1.3483000000000001</v>
      </c>
      <c r="C26">
        <v>0.1928</v>
      </c>
      <c r="D26">
        <v>2.7829000000000002</v>
      </c>
      <c r="E26">
        <v>0.57269999999999999</v>
      </c>
      <c r="F26">
        <v>1.9852000000000001</v>
      </c>
      <c r="G26">
        <v>2.8972000000000002</v>
      </c>
      <c r="Y26" s="11"/>
      <c r="AM26" s="12"/>
      <c r="AV26" s="12"/>
      <c r="BE26" s="12"/>
      <c r="BN26" s="12"/>
      <c r="BW26" s="12"/>
      <c r="CF26" s="12"/>
    </row>
    <row r="27" spans="1:87">
      <c r="A27" s="581" t="s">
        <v>1545</v>
      </c>
      <c r="B27">
        <v>1.4560999999999999</v>
      </c>
      <c r="C27">
        <v>0.26269999999999999</v>
      </c>
      <c r="D27">
        <v>5.3159000000000001</v>
      </c>
      <c r="E27">
        <v>0.63790000000000002</v>
      </c>
      <c r="F27">
        <v>1.7343999999999999</v>
      </c>
      <c r="G27">
        <v>1.7906</v>
      </c>
      <c r="M27" s="12"/>
      <c r="Y27" s="11"/>
      <c r="AM27" s="12"/>
      <c r="AV27" s="12"/>
    </row>
    <row r="28" spans="1:87">
      <c r="A28" s="581" t="s">
        <v>1546</v>
      </c>
      <c r="B28">
        <v>1.4686999999999999</v>
      </c>
      <c r="C28">
        <v>0.38009999999999999</v>
      </c>
      <c r="D28">
        <v>6.4066000000000001</v>
      </c>
      <c r="E28">
        <v>0.94320000000000004</v>
      </c>
      <c r="F28">
        <v>1.4862</v>
      </c>
      <c r="G28">
        <v>1.7977000000000001</v>
      </c>
      <c r="M28" s="13"/>
      <c r="N28" s="12"/>
      <c r="O28" s="14"/>
      <c r="Q28" s="12"/>
      <c r="Y28" s="11"/>
      <c r="AM28" s="12"/>
      <c r="AV28" s="12"/>
      <c r="BE28" s="12"/>
      <c r="BN28" s="12"/>
      <c r="BW28" s="12"/>
      <c r="CF28" s="12"/>
    </row>
    <row r="29" spans="1:87">
      <c r="A29" s="581" t="s">
        <v>1547</v>
      </c>
      <c r="B29">
        <v>1.4548000000000001</v>
      </c>
      <c r="C29">
        <v>0.38229999999999997</v>
      </c>
      <c r="D29">
        <v>12.4429</v>
      </c>
      <c r="E29">
        <v>0.94720000000000004</v>
      </c>
      <c r="F29">
        <v>1.4074</v>
      </c>
      <c r="G29">
        <v>1.2827</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v>
      </c>
      <c r="C30">
        <v>0</v>
      </c>
      <c r="D30">
        <v>0</v>
      </c>
      <c r="E30">
        <v>0</v>
      </c>
      <c r="F30">
        <v>0</v>
      </c>
      <c r="G30">
        <v>0</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v>
      </c>
      <c r="C31">
        <v>0</v>
      </c>
      <c r="D31">
        <v>0</v>
      </c>
      <c r="E31">
        <v>0</v>
      </c>
      <c r="F31">
        <v>0</v>
      </c>
      <c r="G31">
        <v>0</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v>
      </c>
      <c r="C32">
        <v>0</v>
      </c>
      <c r="D32">
        <v>0</v>
      </c>
      <c r="E32">
        <v>0</v>
      </c>
      <c r="F32">
        <v>0</v>
      </c>
      <c r="G32">
        <v>0</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1.4058999999999999</v>
      </c>
      <c r="C33">
        <v>0.31209999999999999</v>
      </c>
      <c r="D33">
        <v>7.0936000000000003</v>
      </c>
      <c r="E33">
        <v>0.71519999999999995</v>
      </c>
      <c r="F33">
        <v>1.5139</v>
      </c>
      <c r="G33">
        <v>1.5755999999999999</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1.4913000000000001</v>
      </c>
      <c r="C34">
        <v>0.58940000000000003</v>
      </c>
      <c r="D34">
        <v>17.651599999999998</v>
      </c>
      <c r="E34">
        <v>1.0122</v>
      </c>
      <c r="F34">
        <v>1.2638</v>
      </c>
      <c r="G34">
        <v>1.2193000000000001</v>
      </c>
      <c r="K34" s="17"/>
      <c r="L34" s="17"/>
      <c r="M34" s="17"/>
      <c r="N34" s="17"/>
      <c r="O34" s="17"/>
      <c r="P34" s="17"/>
      <c r="Y34" s="11"/>
      <c r="AM34" s="12"/>
      <c r="AV34" s="12"/>
      <c r="BE34" s="12"/>
      <c r="BN34" s="12"/>
      <c r="BW34" s="12"/>
      <c r="CF34" s="12"/>
    </row>
    <row r="35" spans="1:87">
      <c r="A35" s="581" t="s">
        <v>1553</v>
      </c>
      <c r="B35">
        <v>1.6428</v>
      </c>
      <c r="C35">
        <v>0.6411</v>
      </c>
      <c r="D35">
        <v>9.5383999999999993</v>
      </c>
      <c r="E35">
        <v>1.0109999999999999</v>
      </c>
      <c r="F35">
        <v>1.3488</v>
      </c>
      <c r="G35">
        <v>1.754</v>
      </c>
      <c r="K35" s="17"/>
      <c r="L35" s="17"/>
      <c r="M35" s="17"/>
      <c r="N35" s="18"/>
      <c r="O35" s="18"/>
      <c r="P35" s="17"/>
      <c r="Y35" s="11"/>
      <c r="AM35" s="12"/>
      <c r="AP35" s="12"/>
      <c r="AV35" s="12"/>
      <c r="AY35" s="12"/>
      <c r="BE35" s="12"/>
      <c r="BH35" s="12"/>
      <c r="BN35" s="12"/>
      <c r="BQ35" s="12"/>
      <c r="BW35" s="12"/>
      <c r="BZ35" s="12"/>
      <c r="CF35" s="12"/>
      <c r="CI35" s="12"/>
    </row>
    <row r="36" spans="1:87">
      <c r="A36" s="581" t="s">
        <v>1554</v>
      </c>
      <c r="B36">
        <v>1.4175</v>
      </c>
      <c r="C36">
        <v>0.4783</v>
      </c>
      <c r="D36">
        <v>10.444800000000001</v>
      </c>
      <c r="E36">
        <v>0.95489999999999997</v>
      </c>
      <c r="F36">
        <v>1.2768999999999999</v>
      </c>
      <c r="G36">
        <v>1.3608</v>
      </c>
      <c r="K36" s="17"/>
      <c r="L36" s="17"/>
      <c r="M36" s="17"/>
      <c r="N36" s="18"/>
      <c r="O36" s="18"/>
      <c r="P36" s="17"/>
      <c r="Y36" s="11"/>
      <c r="AM36" s="12"/>
      <c r="AV36" s="12"/>
      <c r="BE36" s="12"/>
      <c r="BN36" s="12"/>
      <c r="BW36" s="12"/>
      <c r="CF36" s="12"/>
    </row>
    <row r="37" spans="1:87">
      <c r="A37" s="581" t="s">
        <v>1555</v>
      </c>
      <c r="B37">
        <v>1.534</v>
      </c>
      <c r="C37">
        <v>0.57509999999999994</v>
      </c>
      <c r="D37">
        <v>14.4116</v>
      </c>
      <c r="E37">
        <v>1.0673999999999999</v>
      </c>
      <c r="F37">
        <v>1.2901</v>
      </c>
      <c r="G37">
        <v>1.3065</v>
      </c>
      <c r="K37" s="17"/>
      <c r="L37" s="17"/>
      <c r="M37" s="17"/>
      <c r="N37" s="17"/>
      <c r="O37" s="17"/>
      <c r="P37" s="17"/>
      <c r="Y37" s="11"/>
    </row>
    <row r="38" spans="1:87">
      <c r="A38" s="581" t="s">
        <v>1556</v>
      </c>
      <c r="B38">
        <v>1.5444</v>
      </c>
      <c r="C38">
        <v>0.38479999999999998</v>
      </c>
      <c r="D38">
        <v>7.2450000000000001</v>
      </c>
      <c r="E38">
        <v>0.80200000000000005</v>
      </c>
      <c r="F38">
        <v>1.5579000000000001</v>
      </c>
      <c r="G38">
        <v>1.7796000000000001</v>
      </c>
      <c r="Y38" s="11"/>
    </row>
    <row r="39" spans="1:87">
      <c r="A39" s="581" t="s">
        <v>1557</v>
      </c>
      <c r="B39">
        <v>1.6548</v>
      </c>
      <c r="C39">
        <v>0.3619</v>
      </c>
      <c r="D39">
        <v>9.1301000000000005</v>
      </c>
      <c r="E39">
        <v>0.97199999999999998</v>
      </c>
      <c r="F39">
        <v>1.7758</v>
      </c>
      <c r="G39">
        <v>1.7315</v>
      </c>
      <c r="Y39" s="11"/>
    </row>
    <row r="40" spans="1:87">
      <c r="A40" s="581" t="s">
        <v>1558</v>
      </c>
      <c r="B40">
        <v>1.3787</v>
      </c>
      <c r="C40">
        <v>0.27529999999999999</v>
      </c>
      <c r="D40">
        <v>3.7711000000000001</v>
      </c>
      <c r="E40">
        <v>0.58919999999999995</v>
      </c>
      <c r="F40">
        <v>1.4594</v>
      </c>
      <c r="G40">
        <v>2.1259000000000001</v>
      </c>
      <c r="N40" s="12"/>
      <c r="O40" s="14"/>
      <c r="Q40" s="12"/>
      <c r="Y40" s="11"/>
    </row>
    <row r="41" spans="1:87">
      <c r="A41" s="581" t="s">
        <v>1559</v>
      </c>
      <c r="B41">
        <v>1.3997999999999999</v>
      </c>
      <c r="C41">
        <v>0.22439999999999999</v>
      </c>
      <c r="D41">
        <v>3.8633000000000002</v>
      </c>
      <c r="E41">
        <v>0.81710000000000005</v>
      </c>
      <c r="F41">
        <v>1.7482</v>
      </c>
      <c r="G41">
        <v>2.2292000000000001</v>
      </c>
      <c r="N41" s="12"/>
      <c r="O41" s="14"/>
      <c r="Q41" s="12"/>
      <c r="Y41" s="11"/>
    </row>
    <row r="42" spans="1:87">
      <c r="A42" s="581" t="s">
        <v>1560</v>
      </c>
      <c r="B42">
        <v>1.48</v>
      </c>
      <c r="C42">
        <v>0.25919999999999999</v>
      </c>
      <c r="D42">
        <v>4.5964</v>
      </c>
      <c r="E42">
        <v>0.7782</v>
      </c>
      <c r="F42">
        <v>1.9263999999999999</v>
      </c>
      <c r="G42">
        <v>2.6217000000000001</v>
      </c>
      <c r="Y42" s="11"/>
    </row>
    <row r="43" spans="1:87">
      <c r="A43" s="581" t="s">
        <v>1561</v>
      </c>
      <c r="B43">
        <v>1.4427000000000001</v>
      </c>
      <c r="C43">
        <v>0.24129999999999999</v>
      </c>
      <c r="D43">
        <v>4.7030000000000003</v>
      </c>
      <c r="E43">
        <v>0.83420000000000005</v>
      </c>
      <c r="F43">
        <v>1.7575000000000001</v>
      </c>
      <c r="G43">
        <v>2.1065999999999998</v>
      </c>
      <c r="Q43" s="12"/>
      <c r="Y43" s="11"/>
    </row>
    <row r="44" spans="1:87">
      <c r="A44" s="581" t="s">
        <v>1562</v>
      </c>
      <c r="B44">
        <v>1.5449999999999999</v>
      </c>
      <c r="C44">
        <v>0.2908</v>
      </c>
      <c r="D44">
        <v>5.6211000000000002</v>
      </c>
      <c r="E44">
        <v>0.69710000000000005</v>
      </c>
      <c r="F44">
        <v>1.8701000000000001</v>
      </c>
      <c r="G44">
        <v>2.1179999999999999</v>
      </c>
      <c r="Y44" s="11"/>
    </row>
    <row r="45" spans="1:87">
      <c r="A45" s="581" t="s">
        <v>1563</v>
      </c>
      <c r="B45">
        <v>1.5310999999999999</v>
      </c>
      <c r="C45">
        <v>0.36580000000000001</v>
      </c>
      <c r="D45">
        <v>6.2686999999999999</v>
      </c>
      <c r="E45">
        <v>0.98529999999999995</v>
      </c>
      <c r="F45">
        <v>1.546</v>
      </c>
      <c r="G45">
        <v>1.8126</v>
      </c>
      <c r="Q45" s="12"/>
      <c r="Y45" s="11"/>
    </row>
    <row r="46" spans="1:87">
      <c r="A46" s="581" t="s">
        <v>1564</v>
      </c>
      <c r="B46">
        <v>1</v>
      </c>
      <c r="C46">
        <v>0</v>
      </c>
      <c r="D46">
        <v>0</v>
      </c>
      <c r="E46">
        <v>0</v>
      </c>
      <c r="F46">
        <v>0</v>
      </c>
      <c r="G46">
        <v>0</v>
      </c>
      <c r="Q46" s="16"/>
      <c r="Y46" s="11"/>
    </row>
    <row r="47" spans="1:87">
      <c r="A47" s="581" t="s">
        <v>1565</v>
      </c>
      <c r="B47">
        <v>1.2625999999999999</v>
      </c>
      <c r="C47">
        <v>0.1003</v>
      </c>
      <c r="D47">
        <v>4.8539000000000003</v>
      </c>
      <c r="E47">
        <v>0.85519999999999996</v>
      </c>
      <c r="F47">
        <v>2.3948999999999998</v>
      </c>
      <c r="G47">
        <v>1.4117</v>
      </c>
      <c r="Q47" s="16"/>
      <c r="Y47" s="11"/>
    </row>
    <row r="48" spans="1:87">
      <c r="A48" s="581" t="s">
        <v>1566</v>
      </c>
      <c r="B48">
        <v>1.3965000000000001</v>
      </c>
      <c r="C48">
        <v>0.33860000000000001</v>
      </c>
      <c r="D48">
        <v>5.7977999999999996</v>
      </c>
      <c r="E48">
        <v>0.97940000000000005</v>
      </c>
      <c r="F48">
        <v>1.4157999999999999</v>
      </c>
      <c r="G48">
        <v>1.6817</v>
      </c>
      <c r="Y48" s="11"/>
    </row>
    <row r="49" spans="1:25">
      <c r="A49" s="581" t="s">
        <v>1567</v>
      </c>
      <c r="B49">
        <v>1.6084000000000001</v>
      </c>
      <c r="C49">
        <v>0.59119999999999995</v>
      </c>
      <c r="D49">
        <v>10.198700000000001</v>
      </c>
      <c r="E49">
        <v>1.0975999999999999</v>
      </c>
      <c r="F49">
        <v>1.3566</v>
      </c>
      <c r="G49">
        <v>1.6215999999999999</v>
      </c>
      <c r="Y49" s="11"/>
    </row>
    <row r="50" spans="1:25">
      <c r="A50" s="581" t="s">
        <v>1568</v>
      </c>
      <c r="B50">
        <v>1.6259999999999999</v>
      </c>
      <c r="C50">
        <v>0.62009999999999998</v>
      </c>
      <c r="D50">
        <v>8.1937999999999995</v>
      </c>
      <c r="E50">
        <v>1.0426</v>
      </c>
      <c r="F50">
        <v>1.3452</v>
      </c>
      <c r="G50">
        <v>1.9171</v>
      </c>
      <c r="Y50" s="11"/>
    </row>
    <row r="51" spans="1:25">
      <c r="A51" s="581" t="s">
        <v>1569</v>
      </c>
      <c r="B51">
        <v>1.4509000000000001</v>
      </c>
      <c r="C51">
        <v>0.39689999999999998</v>
      </c>
      <c r="D51">
        <v>13.5177</v>
      </c>
      <c r="E51">
        <v>0.95279999999999998</v>
      </c>
      <c r="F51">
        <v>1.4033</v>
      </c>
      <c r="G51">
        <v>1.2705</v>
      </c>
      <c r="Y51" s="11"/>
    </row>
    <row r="52" spans="1:25">
      <c r="A52" s="581" t="s">
        <v>1570</v>
      </c>
      <c r="B52">
        <v>1.6431</v>
      </c>
      <c r="C52">
        <v>0.44019999999999998</v>
      </c>
      <c r="D52">
        <v>8.1995000000000005</v>
      </c>
      <c r="E52">
        <v>0.90580000000000005</v>
      </c>
      <c r="F52">
        <v>1.6292</v>
      </c>
      <c r="G52">
        <v>1.8803000000000001</v>
      </c>
      <c r="Y52" s="11"/>
    </row>
    <row r="53" spans="1:25">
      <c r="A53" s="581" t="s">
        <v>1571</v>
      </c>
      <c r="B53">
        <v>1.5929</v>
      </c>
      <c r="C53">
        <v>0.59889999999999999</v>
      </c>
      <c r="D53">
        <v>19.178899999999999</v>
      </c>
      <c r="E53">
        <v>1.0289999999999999</v>
      </c>
      <c r="F53">
        <v>1.3010999999999999</v>
      </c>
      <c r="G53">
        <v>1.24</v>
      </c>
      <c r="K53" s="17"/>
      <c r="N53" s="17"/>
      <c r="O53" s="17"/>
      <c r="P53" s="17"/>
      <c r="Y53" s="11"/>
    </row>
    <row r="54" spans="1:25">
      <c r="A54" s="581" t="s">
        <v>1572</v>
      </c>
      <c r="B54">
        <v>1.5891999999999999</v>
      </c>
      <c r="C54">
        <v>0.58909999999999996</v>
      </c>
      <c r="D54">
        <v>10.8874</v>
      </c>
      <c r="E54">
        <v>1.0584</v>
      </c>
      <c r="F54">
        <v>1.3425</v>
      </c>
      <c r="G54">
        <v>1.5275000000000001</v>
      </c>
      <c r="K54" s="17"/>
      <c r="N54" s="12"/>
      <c r="O54" s="12"/>
      <c r="Y54" s="11"/>
    </row>
    <row r="55" spans="1:25">
      <c r="A55" s="581" t="s">
        <v>1573</v>
      </c>
      <c r="B55">
        <v>1.5619000000000001</v>
      </c>
      <c r="C55">
        <v>0.41389999999999999</v>
      </c>
      <c r="D55">
        <v>8.2096</v>
      </c>
      <c r="E55">
        <v>0.89480000000000004</v>
      </c>
      <c r="F55">
        <v>1.4873000000000001</v>
      </c>
      <c r="G55">
        <v>1.6657999999999999</v>
      </c>
      <c r="K55" s="17"/>
      <c r="N55" s="12"/>
      <c r="O55" s="12"/>
      <c r="Y55" s="11"/>
    </row>
    <row r="56" spans="1:25">
      <c r="A56" s="581" t="s">
        <v>1574</v>
      </c>
      <c r="B56">
        <v>1.4793000000000001</v>
      </c>
      <c r="C56">
        <v>0.42759999999999998</v>
      </c>
      <c r="D56">
        <v>13.1198</v>
      </c>
      <c r="E56">
        <v>0.97940000000000005</v>
      </c>
      <c r="F56">
        <v>1.3738999999999999</v>
      </c>
      <c r="G56">
        <v>1.2908999999999999</v>
      </c>
      <c r="K56" s="17"/>
      <c r="Y56" s="11"/>
    </row>
    <row r="57" spans="1:25">
      <c r="A57" s="581" t="s">
        <v>1575</v>
      </c>
      <c r="B57">
        <v>1.5361</v>
      </c>
      <c r="C57">
        <v>0.504</v>
      </c>
      <c r="D57">
        <v>20.338999999999999</v>
      </c>
      <c r="E57">
        <v>0.9758</v>
      </c>
      <c r="F57">
        <v>1.3391</v>
      </c>
      <c r="G57">
        <v>1.196</v>
      </c>
      <c r="Y57" s="11"/>
    </row>
    <row r="58" spans="1:25">
      <c r="A58" s="581" t="s">
        <v>1576</v>
      </c>
      <c r="B58">
        <v>1.5021</v>
      </c>
      <c r="C58">
        <v>0.30809999999999998</v>
      </c>
      <c r="D58">
        <v>9.9108000000000001</v>
      </c>
      <c r="E58">
        <v>0.91310000000000002</v>
      </c>
      <c r="F58">
        <v>1.6108</v>
      </c>
      <c r="G58">
        <v>1.4302999999999999</v>
      </c>
      <c r="Y58" s="11"/>
    </row>
    <row r="59" spans="1:25">
      <c r="A59" s="581" t="s">
        <v>1577</v>
      </c>
      <c r="B59">
        <v>1.4761</v>
      </c>
      <c r="C59">
        <v>0.40479999999999999</v>
      </c>
      <c r="D59">
        <v>19.351900000000001</v>
      </c>
      <c r="E59">
        <v>0.94710000000000005</v>
      </c>
      <c r="F59">
        <v>1.4038999999999999</v>
      </c>
      <c r="G59">
        <v>1.1738999999999999</v>
      </c>
      <c r="N59" s="12"/>
      <c r="O59" s="14"/>
      <c r="Q59" s="12"/>
      <c r="Y59" s="11"/>
    </row>
    <row r="60" spans="1:25">
      <c r="A60" s="581" t="s">
        <v>1578</v>
      </c>
      <c r="B60">
        <v>1.6169</v>
      </c>
      <c r="C60">
        <v>0.39140000000000003</v>
      </c>
      <c r="D60">
        <v>10.6325</v>
      </c>
      <c r="E60">
        <v>0.92630000000000001</v>
      </c>
      <c r="F60">
        <v>1.7239</v>
      </c>
      <c r="G60">
        <v>1.5704</v>
      </c>
      <c r="N60" s="12"/>
      <c r="O60" s="14"/>
      <c r="Q60" s="12"/>
      <c r="Y60" s="11"/>
    </row>
    <row r="61" spans="1:25">
      <c r="A61" s="581" t="s">
        <v>1579</v>
      </c>
      <c r="B61">
        <v>1.4629000000000001</v>
      </c>
      <c r="C61">
        <v>0.3513</v>
      </c>
      <c r="D61">
        <v>14.960699999999999</v>
      </c>
      <c r="E61">
        <v>0.83030000000000004</v>
      </c>
      <c r="F61">
        <v>1.4957</v>
      </c>
      <c r="G61">
        <v>1.2221</v>
      </c>
      <c r="Y61" s="11"/>
    </row>
    <row r="62" spans="1:25">
      <c r="A62" s="581" t="s">
        <v>1580</v>
      </c>
      <c r="B62">
        <v>1.5922000000000001</v>
      </c>
      <c r="C62">
        <v>0.53300000000000003</v>
      </c>
      <c r="D62">
        <v>13.6762</v>
      </c>
      <c r="E62">
        <v>0.92449999999999999</v>
      </c>
      <c r="F62">
        <v>1.3648</v>
      </c>
      <c r="G62">
        <v>1.3645</v>
      </c>
      <c r="Q62" s="12"/>
      <c r="Y62" s="11"/>
    </row>
    <row r="63" spans="1:25">
      <c r="A63" s="581" t="s">
        <v>1581</v>
      </c>
      <c r="B63">
        <v>0.80430000000000001</v>
      </c>
      <c r="C63">
        <v>0.19520000000000001</v>
      </c>
      <c r="D63">
        <v>5.4189999999999996</v>
      </c>
      <c r="E63">
        <v>0.50880000000000003</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sheetPr codeName="Sheet28">
    <tabColor rgb="FFFFFF00"/>
  </sheetPr>
  <dimension ref="A1:CX120"/>
  <sheetViews>
    <sheetView zoomScale="70" zoomScaleNormal="70" workbookViewId="0">
      <selection activeCell="I14" sqref="I14"/>
    </sheetView>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1.3546</v>
      </c>
      <c r="C2">
        <v>0.19570000000000001</v>
      </c>
      <c r="D2">
        <v>9.4138000000000002</v>
      </c>
      <c r="E2">
        <v>0.59560000000000002</v>
      </c>
      <c r="F2">
        <v>1.2477</v>
      </c>
      <c r="G2">
        <v>1.1167</v>
      </c>
    </row>
    <row r="3" spans="1:87">
      <c r="A3" s="581" t="s">
        <v>1521</v>
      </c>
      <c r="B3">
        <v>1.6411</v>
      </c>
      <c r="C3">
        <v>0.61580000000000001</v>
      </c>
      <c r="D3">
        <v>29.7105</v>
      </c>
      <c r="E3">
        <v>0.9869</v>
      </c>
      <c r="F3">
        <v>1.1460999999999999</v>
      </c>
      <c r="G3">
        <v>1.0734999999999999</v>
      </c>
    </row>
    <row r="4" spans="1:87">
      <c r="A4" s="581" t="s">
        <v>1522</v>
      </c>
      <c r="B4">
        <v>1</v>
      </c>
      <c r="C4">
        <v>0</v>
      </c>
      <c r="D4">
        <v>0</v>
      </c>
      <c r="E4">
        <v>0</v>
      </c>
      <c r="F4">
        <v>0</v>
      </c>
      <c r="G4">
        <v>0</v>
      </c>
      <c r="N4" s="17"/>
      <c r="U4" s="21"/>
      <c r="X4" s="21"/>
    </row>
    <row r="5" spans="1:87">
      <c r="A5" s="581" t="s">
        <v>1523</v>
      </c>
      <c r="B5">
        <v>1.2819</v>
      </c>
      <c r="C5">
        <v>0.129</v>
      </c>
      <c r="D5">
        <v>2.4712999999999998</v>
      </c>
      <c r="E5">
        <v>0.74050000000000005</v>
      </c>
      <c r="F5">
        <v>1.3778999999999999</v>
      </c>
      <c r="G5">
        <v>1.4624999999999999</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1.7334000000000001</v>
      </c>
      <c r="C6">
        <v>0.39340000000000003</v>
      </c>
      <c r="D6">
        <v>9.1046999999999993</v>
      </c>
      <c r="E6">
        <v>0.84060000000000001</v>
      </c>
      <c r="F6">
        <v>1.2986</v>
      </c>
      <c r="G6">
        <v>1.2855000000000001</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1.1371</v>
      </c>
      <c r="C7">
        <v>5.57E-2</v>
      </c>
      <c r="D7">
        <v>0.72330000000000005</v>
      </c>
      <c r="E7">
        <v>0.77500000000000002</v>
      </c>
      <c r="F7">
        <v>1.4129</v>
      </c>
      <c r="G7">
        <v>1.8942000000000001</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1.5575000000000001</v>
      </c>
      <c r="C8">
        <v>0.22639999999999999</v>
      </c>
      <c r="D8">
        <v>4.6281999999999996</v>
      </c>
      <c r="E8">
        <v>0.82650000000000001</v>
      </c>
      <c r="F8">
        <v>1.3935999999999999</v>
      </c>
      <c r="G8">
        <v>1.4801</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1.5535000000000001</v>
      </c>
      <c r="C9">
        <v>0.11509999999999999</v>
      </c>
      <c r="D9">
        <v>2.7181999999999999</v>
      </c>
      <c r="E9">
        <v>0.64390000000000003</v>
      </c>
      <c r="F9">
        <v>2.2471000000000001</v>
      </c>
      <c r="G9">
        <v>1.9945999999999999</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1.5580000000000001</v>
      </c>
      <c r="C10">
        <v>0.158</v>
      </c>
      <c r="D10">
        <v>3.2189999999999999</v>
      </c>
      <c r="E10">
        <v>0.7056</v>
      </c>
      <c r="F10">
        <v>1.7251000000000001</v>
      </c>
      <c r="G10">
        <v>1.7499</v>
      </c>
      <c r="U10" s="13"/>
      <c r="V10" s="23"/>
      <c r="W10" s="26"/>
      <c r="Y10" s="11"/>
      <c r="AM10" s="12"/>
      <c r="AV10" s="12"/>
      <c r="BE10" s="12"/>
      <c r="BN10" s="12"/>
      <c r="BW10" s="12"/>
      <c r="CF10" s="12"/>
    </row>
    <row r="11" spans="1:87">
      <c r="A11" s="581" t="s">
        <v>1529</v>
      </c>
      <c r="B11">
        <v>1.5588</v>
      </c>
      <c r="C11">
        <v>0.10589999999999999</v>
      </c>
      <c r="D11">
        <v>2.4035000000000002</v>
      </c>
      <c r="E11">
        <v>0.4405</v>
      </c>
      <c r="F11">
        <v>2.0085000000000002</v>
      </c>
      <c r="G11">
        <v>1.9038999999999999</v>
      </c>
      <c r="U11" s="13"/>
      <c r="V11" s="23"/>
      <c r="Y11" s="11"/>
      <c r="AM11" s="12"/>
      <c r="AP11" s="12"/>
      <c r="AV11" s="12"/>
      <c r="AY11" s="12"/>
      <c r="BE11" s="12"/>
      <c r="BH11" s="12"/>
      <c r="BN11" s="12"/>
      <c r="BQ11" s="12"/>
      <c r="BW11" s="12"/>
      <c r="BZ11" s="12"/>
      <c r="CF11" s="12"/>
      <c r="CI11" s="12"/>
    </row>
    <row r="12" spans="1:87">
      <c r="A12" s="581" t="s">
        <v>1530</v>
      </c>
      <c r="B12">
        <v>1.4851000000000001</v>
      </c>
      <c r="C12">
        <v>0.16159999999999999</v>
      </c>
      <c r="D12">
        <v>3.0750999999999999</v>
      </c>
      <c r="E12">
        <v>0.69789999999999996</v>
      </c>
      <c r="F12">
        <v>1.522</v>
      </c>
      <c r="G12">
        <v>1.6400999999999999</v>
      </c>
      <c r="N12" s="15"/>
      <c r="U12" s="13"/>
      <c r="V12" s="23"/>
      <c r="Y12" s="11"/>
      <c r="AM12" s="12"/>
      <c r="AV12" s="12"/>
      <c r="BE12" s="12"/>
      <c r="BN12" s="12"/>
      <c r="BW12" s="12"/>
      <c r="CF12" s="12"/>
    </row>
    <row r="13" spans="1:87">
      <c r="A13" s="581" t="s">
        <v>1531</v>
      </c>
      <c r="B13">
        <v>1.5071000000000001</v>
      </c>
      <c r="C13">
        <v>0.17960000000000001</v>
      </c>
      <c r="D13">
        <v>2.8637000000000001</v>
      </c>
      <c r="E13">
        <v>0.73899999999999999</v>
      </c>
      <c r="F13">
        <v>1.5045999999999999</v>
      </c>
      <c r="G13">
        <v>1.7707999999999999</v>
      </c>
      <c r="N13" s="16"/>
      <c r="U13" s="13"/>
      <c r="V13" s="23"/>
      <c r="Y13" s="11"/>
      <c r="AM13" s="12"/>
      <c r="AV13" s="12"/>
      <c r="BE13" s="12"/>
      <c r="BN13" s="12"/>
      <c r="BW13" s="12"/>
      <c r="CF13" s="12"/>
    </row>
    <row r="14" spans="1:87">
      <c r="A14" s="581" t="s">
        <v>1532</v>
      </c>
      <c r="B14">
        <v>1.2966</v>
      </c>
      <c r="C14">
        <v>9.7799999999999998E-2</v>
      </c>
      <c r="D14">
        <v>1.5150999999999999</v>
      </c>
      <c r="E14">
        <v>0.8821</v>
      </c>
      <c r="F14">
        <v>1.6116999999999999</v>
      </c>
      <c r="G14">
        <v>1.9319</v>
      </c>
      <c r="N14" s="16"/>
      <c r="U14" s="13"/>
      <c r="V14" s="23"/>
      <c r="Y14" s="11"/>
      <c r="AM14" s="12"/>
      <c r="AV14" s="12"/>
      <c r="BE14" s="12"/>
      <c r="BN14" s="12"/>
      <c r="BW14" s="12"/>
      <c r="CF14" s="12"/>
    </row>
    <row r="15" spans="1:87">
      <c r="A15" s="581" t="s">
        <v>1533</v>
      </c>
      <c r="B15">
        <v>1.4945999999999999</v>
      </c>
      <c r="C15">
        <v>0.1186</v>
      </c>
      <c r="D15">
        <v>2.1432000000000002</v>
      </c>
      <c r="E15">
        <v>0.65500000000000003</v>
      </c>
      <c r="F15">
        <v>1.8705000000000001</v>
      </c>
      <c r="G15">
        <v>2.0257999999999998</v>
      </c>
      <c r="N15" s="15"/>
      <c r="U15" s="13"/>
      <c r="V15" s="23"/>
      <c r="Y15" s="11"/>
      <c r="AM15" s="12"/>
      <c r="AV15" s="12"/>
    </row>
    <row r="16" spans="1:87">
      <c r="A16" s="581" t="s">
        <v>1534</v>
      </c>
      <c r="B16">
        <v>1.4688000000000001</v>
      </c>
      <c r="C16">
        <v>8.9800000000000005E-2</v>
      </c>
      <c r="D16">
        <v>1.992</v>
      </c>
      <c r="E16">
        <v>0.40439999999999998</v>
      </c>
      <c r="F16">
        <v>2.5512999999999999</v>
      </c>
      <c r="G16">
        <v>2.1175000000000002</v>
      </c>
      <c r="U16" s="13"/>
      <c r="V16" s="23"/>
      <c r="Y16" s="11"/>
      <c r="AM16" s="12"/>
      <c r="AV16" s="12"/>
      <c r="BE16" s="12"/>
      <c r="BN16" s="12"/>
      <c r="BW16" s="12"/>
      <c r="CF16" s="12"/>
    </row>
    <row r="17" spans="1:87">
      <c r="A17" s="581" t="s">
        <v>1535</v>
      </c>
      <c r="B17">
        <v>1.6439999999999999</v>
      </c>
      <c r="C17">
        <v>0.1177</v>
      </c>
      <c r="D17">
        <v>2.4943</v>
      </c>
      <c r="E17">
        <v>0.68759999999999999</v>
      </c>
      <c r="F17">
        <v>3.3155000000000001</v>
      </c>
      <c r="G17">
        <v>2.6381000000000001</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1.4976</v>
      </c>
      <c r="C18">
        <v>0.17180000000000001</v>
      </c>
      <c r="D18">
        <v>3.3879000000000001</v>
      </c>
      <c r="E18">
        <v>0.77669999999999995</v>
      </c>
      <c r="F18">
        <v>1.4984999999999999</v>
      </c>
      <c r="G18">
        <v>1.5992</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1.4504999999999999</v>
      </c>
      <c r="C19">
        <v>0.1615</v>
      </c>
      <c r="D19">
        <v>2.6353</v>
      </c>
      <c r="E19">
        <v>0.83240000000000003</v>
      </c>
      <c r="F19">
        <v>1.4915</v>
      </c>
      <c r="G19">
        <v>1.7627999999999999</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1.5219</v>
      </c>
      <c r="C20">
        <v>0.12139999999999999</v>
      </c>
      <c r="D20">
        <v>2.6103999999999998</v>
      </c>
      <c r="E20">
        <v>0.53249999999999997</v>
      </c>
      <c r="F20">
        <v>1.909</v>
      </c>
      <c r="G20">
        <v>1.8405</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1.5447</v>
      </c>
      <c r="C21">
        <v>0.2419</v>
      </c>
      <c r="D21">
        <v>5.8517999999999999</v>
      </c>
      <c r="E21">
        <v>0.61450000000000005</v>
      </c>
      <c r="F21">
        <v>1.4023000000000001</v>
      </c>
      <c r="G21">
        <v>1.3715999999999999</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1.5410999999999999</v>
      </c>
      <c r="C22">
        <v>0.32740000000000002</v>
      </c>
      <c r="D22">
        <v>8.859</v>
      </c>
      <c r="E22">
        <v>0.96899999999999997</v>
      </c>
      <c r="F22">
        <v>1.2726999999999999</v>
      </c>
      <c r="G22">
        <v>1.2377</v>
      </c>
      <c r="K22" s="17"/>
      <c r="L22" s="17"/>
      <c r="M22" s="17"/>
      <c r="N22" s="17"/>
      <c r="O22" s="17"/>
      <c r="P22" s="17"/>
      <c r="U22" s="13"/>
      <c r="V22" s="23"/>
      <c r="Y22" s="11"/>
      <c r="AM22" s="12"/>
      <c r="AV22" s="12"/>
      <c r="BE22" s="12"/>
      <c r="BN22" s="12"/>
      <c r="BW22" s="12"/>
      <c r="CF22" s="12"/>
    </row>
    <row r="23" spans="1:87">
      <c r="A23" s="581" t="s">
        <v>1541</v>
      </c>
      <c r="B23">
        <v>1.5770999999999999</v>
      </c>
      <c r="C23">
        <v>0.15570000000000001</v>
      </c>
      <c r="D23">
        <v>2.7637</v>
      </c>
      <c r="E23">
        <v>0.6401</v>
      </c>
      <c r="F23">
        <v>1.6975</v>
      </c>
      <c r="G23">
        <v>1.8703000000000001</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1.6686000000000001</v>
      </c>
      <c r="C24">
        <v>0.1774</v>
      </c>
      <c r="D24">
        <v>3.8567</v>
      </c>
      <c r="E24">
        <v>0.7298</v>
      </c>
      <c r="F24">
        <v>1.7938000000000001</v>
      </c>
      <c r="G24">
        <v>1.7835000000000001</v>
      </c>
      <c r="K24" s="17"/>
      <c r="L24" s="17"/>
      <c r="M24" s="17"/>
      <c r="N24" s="18"/>
      <c r="O24" s="18"/>
      <c r="P24" s="17"/>
      <c r="R24" s="11"/>
      <c r="U24" s="13"/>
      <c r="V24" s="23"/>
      <c r="Y24" s="11"/>
      <c r="AM24" s="12"/>
      <c r="AV24" s="12"/>
      <c r="BE24" s="12"/>
      <c r="BN24" s="12"/>
      <c r="BW24" s="12"/>
      <c r="CF24" s="12"/>
    </row>
    <row r="25" spans="1:87">
      <c r="A25" s="581" t="s">
        <v>1543</v>
      </c>
      <c r="B25">
        <v>1.1527000000000001</v>
      </c>
      <c r="C25">
        <v>4.5499999999999999E-2</v>
      </c>
      <c r="D25">
        <v>0.55349999999999999</v>
      </c>
      <c r="E25">
        <v>0.33700000000000002</v>
      </c>
      <c r="F25">
        <v>1.3894</v>
      </c>
      <c r="G25">
        <v>1.8302</v>
      </c>
      <c r="K25" s="17"/>
      <c r="L25" s="17"/>
      <c r="M25" s="17"/>
      <c r="N25" s="18"/>
      <c r="O25" s="17"/>
      <c r="P25" s="17"/>
      <c r="U25" s="13"/>
      <c r="V25" s="23"/>
      <c r="Y25" s="11"/>
      <c r="AM25" s="12"/>
      <c r="AV25" s="12"/>
      <c r="BE25" s="12"/>
      <c r="BN25" s="12"/>
      <c r="BW25" s="12"/>
      <c r="CF25" s="12"/>
    </row>
    <row r="26" spans="1:87">
      <c r="A26" s="581" t="s">
        <v>1544</v>
      </c>
      <c r="B26">
        <v>1.5014000000000001</v>
      </c>
      <c r="C26">
        <v>0.1014</v>
      </c>
      <c r="D26">
        <v>1.4202999999999999</v>
      </c>
      <c r="E26">
        <v>0.62029999999999996</v>
      </c>
      <c r="F26">
        <v>2.0543999999999998</v>
      </c>
      <c r="G26">
        <v>2.9102000000000001</v>
      </c>
      <c r="Y26" s="11"/>
      <c r="AM26" s="12"/>
      <c r="AV26" s="12"/>
      <c r="BE26" s="12"/>
      <c r="BN26" s="12"/>
      <c r="BW26" s="12"/>
      <c r="CF26" s="12"/>
    </row>
    <row r="27" spans="1:87">
      <c r="A27" s="581" t="s">
        <v>1545</v>
      </c>
      <c r="B27">
        <v>1.5027999999999999</v>
      </c>
      <c r="C27">
        <v>0.12759999999999999</v>
      </c>
      <c r="D27">
        <v>2.5375000000000001</v>
      </c>
      <c r="E27">
        <v>0.63790000000000002</v>
      </c>
      <c r="F27">
        <v>1.7128000000000001</v>
      </c>
      <c r="G27">
        <v>1.7385999999999999</v>
      </c>
      <c r="M27" s="12"/>
      <c r="Y27" s="11"/>
      <c r="AM27" s="12"/>
      <c r="AV27" s="12"/>
    </row>
    <row r="28" spans="1:87">
      <c r="A28" s="581" t="s">
        <v>1546</v>
      </c>
      <c r="B28">
        <v>1.4682999999999999</v>
      </c>
      <c r="C28">
        <v>0.17849999999999999</v>
      </c>
      <c r="D28">
        <v>3.0154999999999998</v>
      </c>
      <c r="E28">
        <v>0.93079999999999996</v>
      </c>
      <c r="F28">
        <v>1.5016</v>
      </c>
      <c r="G28">
        <v>1.8203</v>
      </c>
      <c r="M28" s="13"/>
      <c r="N28" s="12"/>
      <c r="O28" s="14"/>
      <c r="Q28" s="12"/>
      <c r="Y28" s="11"/>
      <c r="AM28" s="12"/>
      <c r="AV28" s="12"/>
      <c r="BE28" s="12"/>
      <c r="BN28" s="12"/>
      <c r="BW28" s="12"/>
      <c r="CF28" s="12"/>
    </row>
    <row r="29" spans="1:87">
      <c r="A29" s="581" t="s">
        <v>1547</v>
      </c>
      <c r="B29">
        <v>1.4421999999999999</v>
      </c>
      <c r="C29">
        <v>0.19400000000000001</v>
      </c>
      <c r="D29">
        <v>6.3489000000000004</v>
      </c>
      <c r="E29">
        <v>0.92849999999999999</v>
      </c>
      <c r="F29">
        <v>1.38</v>
      </c>
      <c r="G29">
        <v>1.2647999999999999</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1.5782</v>
      </c>
      <c r="C30">
        <v>0.126</v>
      </c>
      <c r="D30">
        <v>2.4883000000000002</v>
      </c>
      <c r="E30">
        <v>0.71919999999999995</v>
      </c>
      <c r="F30">
        <v>1.9702999999999999</v>
      </c>
      <c r="G30">
        <v>2.3833000000000002</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1.6444000000000001</v>
      </c>
      <c r="C31">
        <v>0.16300000000000001</v>
      </c>
      <c r="D31">
        <v>2.6977000000000002</v>
      </c>
      <c r="E31">
        <v>0.77380000000000004</v>
      </c>
      <c r="F31">
        <v>1.7951999999999999</v>
      </c>
      <c r="G31">
        <v>2.2585999999999999</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1.4721</v>
      </c>
      <c r="C32">
        <v>0.1027</v>
      </c>
      <c r="D32">
        <v>1.7392000000000001</v>
      </c>
      <c r="E32">
        <v>0.65700000000000003</v>
      </c>
      <c r="F32">
        <v>2.1122999999999998</v>
      </c>
      <c r="G32">
        <v>3.0773999999999999</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1.6780999999999999</v>
      </c>
      <c r="C33">
        <v>0.18870000000000001</v>
      </c>
      <c r="D33">
        <v>4.2305999999999999</v>
      </c>
      <c r="E33">
        <v>0.82010000000000005</v>
      </c>
      <c r="F33">
        <v>1.6601999999999999</v>
      </c>
      <c r="G33">
        <v>1.7039</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1.4802</v>
      </c>
      <c r="C34">
        <v>0.28310000000000002</v>
      </c>
      <c r="D34">
        <v>8.4277999999999995</v>
      </c>
      <c r="E34">
        <v>0.95169999999999999</v>
      </c>
      <c r="F34">
        <v>1.2125999999999999</v>
      </c>
      <c r="G34">
        <v>1.1632</v>
      </c>
      <c r="K34" s="17"/>
      <c r="L34" s="17"/>
      <c r="M34" s="17"/>
      <c r="N34" s="17"/>
      <c r="O34" s="17"/>
      <c r="P34" s="17"/>
      <c r="Y34" s="11"/>
      <c r="AM34" s="12"/>
      <c r="AV34" s="12"/>
      <c r="BE34" s="12"/>
      <c r="BN34" s="12"/>
      <c r="BW34" s="12"/>
      <c r="CF34" s="12"/>
    </row>
    <row r="35" spans="1:87">
      <c r="A35" s="581" t="s">
        <v>1553</v>
      </c>
      <c r="B35">
        <v>1.4032</v>
      </c>
      <c r="C35">
        <v>0.15340000000000001</v>
      </c>
      <c r="D35">
        <v>2.3690000000000002</v>
      </c>
      <c r="E35">
        <v>0.84530000000000005</v>
      </c>
      <c r="F35">
        <v>1.5091000000000001</v>
      </c>
      <c r="G35">
        <v>2.0373999999999999</v>
      </c>
      <c r="K35" s="17"/>
      <c r="L35" s="17"/>
      <c r="M35" s="17"/>
      <c r="N35" s="18"/>
      <c r="O35" s="18"/>
      <c r="P35" s="17"/>
      <c r="Y35" s="11"/>
      <c r="AM35" s="12"/>
      <c r="AP35" s="12"/>
      <c r="AV35" s="12"/>
      <c r="AY35" s="12"/>
      <c r="BE35" s="12"/>
      <c r="BH35" s="12"/>
      <c r="BN35" s="12"/>
      <c r="BQ35" s="12"/>
      <c r="BW35" s="12"/>
      <c r="BZ35" s="12"/>
      <c r="CF35" s="12"/>
      <c r="CI35" s="12"/>
    </row>
    <row r="36" spans="1:87">
      <c r="A36" s="581" t="s">
        <v>1554</v>
      </c>
      <c r="B36">
        <v>1.5097</v>
      </c>
      <c r="C36">
        <v>0.245</v>
      </c>
      <c r="D36">
        <v>5.2756999999999996</v>
      </c>
      <c r="E36">
        <v>0.98680000000000001</v>
      </c>
      <c r="F36">
        <v>1.3714999999999999</v>
      </c>
      <c r="G36">
        <v>1.4414</v>
      </c>
      <c r="K36" s="17"/>
      <c r="L36" s="17"/>
      <c r="M36" s="17"/>
      <c r="N36" s="18"/>
      <c r="O36" s="18"/>
      <c r="P36" s="17"/>
      <c r="Y36" s="11"/>
      <c r="AM36" s="12"/>
      <c r="AV36" s="12"/>
      <c r="BE36" s="12"/>
      <c r="BN36" s="12"/>
      <c r="BW36" s="12"/>
      <c r="CF36" s="12"/>
    </row>
    <row r="37" spans="1:87">
      <c r="A37" s="581" t="s">
        <v>1555</v>
      </c>
      <c r="B37">
        <v>1.4218999999999999</v>
      </c>
      <c r="C37">
        <v>0.20130000000000001</v>
      </c>
      <c r="D37">
        <v>5.0335000000000001</v>
      </c>
      <c r="E37">
        <v>0.98799999999999999</v>
      </c>
      <c r="F37">
        <v>1.3501000000000001</v>
      </c>
      <c r="G37">
        <v>1.3643000000000001</v>
      </c>
      <c r="K37" s="17"/>
      <c r="L37" s="17"/>
      <c r="M37" s="17"/>
      <c r="N37" s="17"/>
      <c r="O37" s="17"/>
      <c r="P37" s="17"/>
      <c r="Y37" s="11"/>
    </row>
    <row r="38" spans="1:87">
      <c r="A38" s="581" t="s">
        <v>1556</v>
      </c>
      <c r="B38">
        <v>1.5371999999999999</v>
      </c>
      <c r="C38">
        <v>0.15359999999999999</v>
      </c>
      <c r="D38">
        <v>2.964</v>
      </c>
      <c r="E38">
        <v>0.78190000000000004</v>
      </c>
      <c r="F38">
        <v>1.7592000000000001</v>
      </c>
      <c r="G38">
        <v>2.0590999999999999</v>
      </c>
      <c r="Y38" s="11"/>
    </row>
    <row r="39" spans="1:87">
      <c r="A39" s="581" t="s">
        <v>1557</v>
      </c>
      <c r="B39">
        <v>1.3391</v>
      </c>
      <c r="C39">
        <v>0.11119999999999999</v>
      </c>
      <c r="D39">
        <v>2.8279999999999998</v>
      </c>
      <c r="E39">
        <v>0.78110000000000002</v>
      </c>
      <c r="F39">
        <v>1.587</v>
      </c>
      <c r="G39">
        <v>1.5604</v>
      </c>
      <c r="Y39" s="11"/>
    </row>
    <row r="40" spans="1:87">
      <c r="A40" s="581" t="s">
        <v>1558</v>
      </c>
      <c r="B40">
        <v>1.2733000000000001</v>
      </c>
      <c r="C40">
        <v>0.1706</v>
      </c>
      <c r="D40">
        <v>2.1320000000000001</v>
      </c>
      <c r="E40">
        <v>0.53490000000000004</v>
      </c>
      <c r="F40">
        <v>1.2462</v>
      </c>
      <c r="G40">
        <v>1.6555</v>
      </c>
      <c r="N40" s="12"/>
      <c r="O40" s="14"/>
      <c r="Q40" s="12"/>
      <c r="Y40" s="11"/>
    </row>
    <row r="41" spans="1:87">
      <c r="A41" s="581" t="s">
        <v>1559</v>
      </c>
      <c r="B41">
        <v>1.3955</v>
      </c>
      <c r="C41">
        <v>9.8199999999999996E-2</v>
      </c>
      <c r="D41">
        <v>1.7003999999999999</v>
      </c>
      <c r="E41">
        <v>0.80549999999999999</v>
      </c>
      <c r="F41">
        <v>1.7949999999999999</v>
      </c>
      <c r="G41">
        <v>2.3022</v>
      </c>
      <c r="N41" s="12"/>
      <c r="O41" s="14"/>
      <c r="Q41" s="12"/>
      <c r="Y41" s="11"/>
    </row>
    <row r="42" spans="1:87">
      <c r="A42" s="581" t="s">
        <v>1560</v>
      </c>
      <c r="B42">
        <v>1.5434000000000001</v>
      </c>
      <c r="C42">
        <v>0.14729999999999999</v>
      </c>
      <c r="D42">
        <v>2.6227999999999998</v>
      </c>
      <c r="E42">
        <v>0.80359999999999998</v>
      </c>
      <c r="F42">
        <v>1.8259000000000001</v>
      </c>
      <c r="G42">
        <v>2.4943</v>
      </c>
      <c r="Y42" s="11"/>
    </row>
    <row r="43" spans="1:87">
      <c r="A43" s="581" t="s">
        <v>1561</v>
      </c>
      <c r="B43">
        <v>1.4965999999999999</v>
      </c>
      <c r="C43">
        <v>0.11700000000000001</v>
      </c>
      <c r="D43">
        <v>2.2597</v>
      </c>
      <c r="E43">
        <v>0.85409999999999997</v>
      </c>
      <c r="F43">
        <v>1.9588000000000001</v>
      </c>
      <c r="G43">
        <v>2.3267000000000002</v>
      </c>
      <c r="Q43" s="12"/>
      <c r="Y43" s="11"/>
    </row>
    <row r="44" spans="1:87">
      <c r="A44" s="581" t="s">
        <v>1562</v>
      </c>
      <c r="B44">
        <v>1.7113</v>
      </c>
      <c r="C44">
        <v>0.19539999999999999</v>
      </c>
      <c r="D44">
        <v>3.7841</v>
      </c>
      <c r="E44">
        <v>0.77759999999999996</v>
      </c>
      <c r="F44">
        <v>1.734</v>
      </c>
      <c r="G44">
        <v>1.9677</v>
      </c>
      <c r="Y44" s="11"/>
    </row>
    <row r="45" spans="1:87">
      <c r="A45" s="581" t="s">
        <v>1563</v>
      </c>
      <c r="B45">
        <v>1.5011000000000001</v>
      </c>
      <c r="C45">
        <v>0.15989999999999999</v>
      </c>
      <c r="D45">
        <v>2.6993</v>
      </c>
      <c r="E45">
        <v>0.96079999999999999</v>
      </c>
      <c r="F45">
        <v>1.5579000000000001</v>
      </c>
      <c r="G45">
        <v>1.7990999999999999</v>
      </c>
      <c r="Q45" s="12"/>
      <c r="Y45" s="11"/>
    </row>
    <row r="46" spans="1:87">
      <c r="A46" s="581" t="s">
        <v>1564</v>
      </c>
      <c r="B46">
        <v>1.5649</v>
      </c>
      <c r="C46">
        <v>0.1203</v>
      </c>
      <c r="D46">
        <v>4.68</v>
      </c>
      <c r="E46">
        <v>0.70150000000000001</v>
      </c>
      <c r="F46">
        <v>2.0830000000000002</v>
      </c>
      <c r="G46">
        <v>1.3769</v>
      </c>
      <c r="Q46" s="16"/>
      <c r="Y46" s="11"/>
    </row>
    <row r="47" spans="1:87">
      <c r="A47" s="581" t="s">
        <v>1565</v>
      </c>
      <c r="B47">
        <v>1.3677999999999999</v>
      </c>
      <c r="C47">
        <v>6.8900000000000003E-2</v>
      </c>
      <c r="D47">
        <v>3.4510999999999998</v>
      </c>
      <c r="E47">
        <v>0.91279999999999994</v>
      </c>
      <c r="F47">
        <v>2.2292000000000001</v>
      </c>
      <c r="G47">
        <v>1.3606</v>
      </c>
      <c r="Q47" s="16"/>
      <c r="Y47" s="11"/>
    </row>
    <row r="48" spans="1:87">
      <c r="A48" s="581" t="s">
        <v>1566</v>
      </c>
      <c r="B48">
        <v>1.5531999999999999</v>
      </c>
      <c r="C48">
        <v>0.18160000000000001</v>
      </c>
      <c r="D48">
        <v>3.1496</v>
      </c>
      <c r="E48">
        <v>1.0673999999999999</v>
      </c>
      <c r="F48">
        <v>1.6187</v>
      </c>
      <c r="G48">
        <v>1.9472</v>
      </c>
      <c r="Y48" s="11"/>
    </row>
    <row r="49" spans="1:25">
      <c r="A49" s="581" t="s">
        <v>1567</v>
      </c>
      <c r="B49">
        <v>1.5004</v>
      </c>
      <c r="C49">
        <v>0.23449999999999999</v>
      </c>
      <c r="D49">
        <v>4.0401999999999996</v>
      </c>
      <c r="E49">
        <v>1.0172000000000001</v>
      </c>
      <c r="F49">
        <v>1.3751</v>
      </c>
      <c r="G49">
        <v>1.6415</v>
      </c>
      <c r="Y49" s="11"/>
    </row>
    <row r="50" spans="1:25">
      <c r="A50" s="581" t="s">
        <v>1568</v>
      </c>
      <c r="B50">
        <v>1.4612000000000001</v>
      </c>
      <c r="C50">
        <v>0.22689999999999999</v>
      </c>
      <c r="D50">
        <v>2.9325000000000001</v>
      </c>
      <c r="E50">
        <v>0.92479999999999996</v>
      </c>
      <c r="F50">
        <v>1.3385</v>
      </c>
      <c r="G50">
        <v>1.8653</v>
      </c>
      <c r="Y50" s="11"/>
    </row>
    <row r="51" spans="1:25">
      <c r="A51" s="581" t="s">
        <v>1569</v>
      </c>
      <c r="B51">
        <v>1.5044999999999999</v>
      </c>
      <c r="C51">
        <v>0.2319</v>
      </c>
      <c r="D51">
        <v>7.9771999999999998</v>
      </c>
      <c r="E51">
        <v>0.9546</v>
      </c>
      <c r="F51">
        <v>1.3331999999999999</v>
      </c>
      <c r="G51">
        <v>1.2192000000000001</v>
      </c>
      <c r="Y51" s="11"/>
    </row>
    <row r="52" spans="1:25">
      <c r="A52" s="581" t="s">
        <v>1570</v>
      </c>
      <c r="B52">
        <v>1.7630999999999999</v>
      </c>
      <c r="C52">
        <v>0.3856</v>
      </c>
      <c r="D52">
        <v>6.9370000000000003</v>
      </c>
      <c r="E52">
        <v>0.96160000000000001</v>
      </c>
      <c r="F52">
        <v>1.427</v>
      </c>
      <c r="G52">
        <v>1.5907</v>
      </c>
      <c r="Y52" s="11"/>
    </row>
    <row r="53" spans="1:25">
      <c r="A53" s="581" t="s">
        <v>1571</v>
      </c>
      <c r="B53">
        <v>1.5402</v>
      </c>
      <c r="C53">
        <v>0.34329999999999999</v>
      </c>
      <c r="D53">
        <v>11.113799999999999</v>
      </c>
      <c r="E53">
        <v>0.9819</v>
      </c>
      <c r="F53">
        <v>1.2274</v>
      </c>
      <c r="G53">
        <v>1.1826000000000001</v>
      </c>
      <c r="K53" s="17"/>
      <c r="N53" s="17"/>
      <c r="O53" s="17"/>
      <c r="P53" s="17"/>
      <c r="Y53" s="11"/>
    </row>
    <row r="54" spans="1:25">
      <c r="A54" s="581" t="s">
        <v>1572</v>
      </c>
      <c r="B54">
        <v>1.5133000000000001</v>
      </c>
      <c r="C54">
        <v>0.3</v>
      </c>
      <c r="D54">
        <v>5.4381000000000004</v>
      </c>
      <c r="E54">
        <v>0.99870000000000003</v>
      </c>
      <c r="F54">
        <v>1.2813000000000001</v>
      </c>
      <c r="G54">
        <v>1.4300999999999999</v>
      </c>
      <c r="K54" s="17"/>
      <c r="N54" s="12"/>
      <c r="O54" s="12"/>
      <c r="Y54" s="11"/>
    </row>
    <row r="55" spans="1:25">
      <c r="A55" s="581" t="s">
        <v>1573</v>
      </c>
      <c r="B55">
        <v>1.6123000000000001</v>
      </c>
      <c r="C55">
        <v>0.2621</v>
      </c>
      <c r="D55">
        <v>5.1970000000000001</v>
      </c>
      <c r="E55">
        <v>0.91010000000000002</v>
      </c>
      <c r="F55">
        <v>1.3712</v>
      </c>
      <c r="G55">
        <v>1.5349999999999999</v>
      </c>
      <c r="K55" s="17"/>
      <c r="N55" s="12"/>
      <c r="O55" s="12"/>
      <c r="Y55" s="11"/>
    </row>
    <row r="56" spans="1:25">
      <c r="A56" s="581" t="s">
        <v>1574</v>
      </c>
      <c r="B56">
        <v>1.5382</v>
      </c>
      <c r="C56">
        <v>0.34660000000000002</v>
      </c>
      <c r="D56">
        <v>10.9091</v>
      </c>
      <c r="E56">
        <v>1.0024999999999999</v>
      </c>
      <c r="F56">
        <v>1.2324999999999999</v>
      </c>
      <c r="G56">
        <v>1.1879999999999999</v>
      </c>
      <c r="K56" s="17"/>
      <c r="Y56" s="11"/>
    </row>
    <row r="57" spans="1:25">
      <c r="A57" s="581" t="s">
        <v>1575</v>
      </c>
      <c r="B57">
        <v>1.5899000000000001</v>
      </c>
      <c r="C57">
        <v>0.37330000000000002</v>
      </c>
      <c r="D57">
        <v>15.5314</v>
      </c>
      <c r="E57">
        <v>0.99039999999999995</v>
      </c>
      <c r="F57">
        <v>1.2376</v>
      </c>
      <c r="G57">
        <v>1.1396999999999999</v>
      </c>
      <c r="Y57" s="11"/>
    </row>
    <row r="58" spans="1:25">
      <c r="A58" s="581" t="s">
        <v>1576</v>
      </c>
      <c r="B58">
        <v>1.6612</v>
      </c>
      <c r="C58">
        <v>0.2094</v>
      </c>
      <c r="D58">
        <v>6.7744999999999997</v>
      </c>
      <c r="E58">
        <v>0.99639999999999995</v>
      </c>
      <c r="F58">
        <v>1.6928000000000001</v>
      </c>
      <c r="G58">
        <v>1.5117</v>
      </c>
      <c r="Y58" s="11"/>
    </row>
    <row r="59" spans="1:25">
      <c r="A59" s="581" t="s">
        <v>1577</v>
      </c>
      <c r="B59">
        <v>1.4986999999999999</v>
      </c>
      <c r="C59">
        <v>0.2301</v>
      </c>
      <c r="D59">
        <v>11.2536</v>
      </c>
      <c r="E59">
        <v>0.94130000000000003</v>
      </c>
      <c r="F59">
        <v>1.3347</v>
      </c>
      <c r="G59">
        <v>1.1418999999999999</v>
      </c>
      <c r="N59" s="12"/>
      <c r="O59" s="14"/>
      <c r="Q59" s="12"/>
      <c r="Y59" s="11"/>
    </row>
    <row r="60" spans="1:25">
      <c r="A60" s="581" t="s">
        <v>1578</v>
      </c>
      <c r="B60">
        <v>1.54</v>
      </c>
      <c r="C60">
        <v>0.1741</v>
      </c>
      <c r="D60">
        <v>4.7209000000000003</v>
      </c>
      <c r="E60">
        <v>0.86180000000000001</v>
      </c>
      <c r="F60">
        <v>1.6745000000000001</v>
      </c>
      <c r="G60">
        <v>1.5223</v>
      </c>
      <c r="N60" s="12"/>
      <c r="O60" s="14"/>
      <c r="Q60" s="12"/>
      <c r="Y60" s="11"/>
    </row>
    <row r="61" spans="1:25">
      <c r="A61" s="581" t="s">
        <v>1579</v>
      </c>
      <c r="B61">
        <v>1.5095000000000001</v>
      </c>
      <c r="C61">
        <v>0.2334</v>
      </c>
      <c r="D61">
        <v>10.4505</v>
      </c>
      <c r="E61">
        <v>0.83730000000000004</v>
      </c>
      <c r="F61">
        <v>1.3494999999999999</v>
      </c>
      <c r="G61">
        <v>1.1591</v>
      </c>
      <c r="Y61" s="11"/>
    </row>
    <row r="62" spans="1:25">
      <c r="A62" s="581" t="s">
        <v>1580</v>
      </c>
      <c r="B62">
        <v>1.6353</v>
      </c>
      <c r="C62">
        <v>0.30609999999999998</v>
      </c>
      <c r="D62">
        <v>7.7660999999999998</v>
      </c>
      <c r="E62">
        <v>0.92620000000000002</v>
      </c>
      <c r="F62">
        <v>1.3463000000000001</v>
      </c>
      <c r="G62">
        <v>1.3308</v>
      </c>
      <c r="Q62" s="12"/>
      <c r="Y62" s="11"/>
    </row>
    <row r="63" spans="1:25">
      <c r="A63" s="581" t="s">
        <v>1581</v>
      </c>
      <c r="B63">
        <v>0.86980000000000002</v>
      </c>
      <c r="C63">
        <v>0.1114</v>
      </c>
      <c r="D63">
        <v>3.1545999999999998</v>
      </c>
      <c r="E63">
        <v>0.52969999999999995</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sheetPr codeName="Sheet27">
    <tabColor rgb="FFFFFF00"/>
  </sheetPr>
  <dimension ref="A1:CX120"/>
  <sheetViews>
    <sheetView zoomScale="70" zoomScaleNormal="70" workbookViewId="0"/>
  </sheetViews>
  <sheetFormatPr defaultColWidth="9.109375" defaultRowHeight="14.4"/>
  <cols>
    <col min="1" max="1" width="39.6640625" style="1" customWidth="1"/>
    <col min="2" max="2" width="16.44140625" style="1" customWidth="1"/>
    <col min="3" max="3" width="15.6640625" style="1" customWidth="1"/>
    <col min="4" max="4" width="22" style="1" customWidth="1"/>
    <col min="5" max="5" width="37" style="1" bestFit="1" customWidth="1"/>
    <col min="6" max="7" width="9.109375" style="1"/>
    <col min="8" max="12" width="9.109375" style="8"/>
    <col min="13" max="13" width="15.6640625" style="8" customWidth="1"/>
    <col min="14" max="14" width="13.33203125" style="8" bestFit="1" customWidth="1"/>
    <col min="15" max="37" width="9.109375" style="8"/>
    <col min="38" max="38" width="44.109375" style="8" customWidth="1"/>
    <col min="39" max="102" width="9.109375" style="8"/>
    <col min="103" max="16384" width="9.109375" style="1"/>
  </cols>
  <sheetData>
    <row r="1" spans="1:87">
      <c r="A1" s="1" t="s">
        <v>0</v>
      </c>
      <c r="B1" s="1" t="s">
        <v>1</v>
      </c>
      <c r="C1" s="1" t="s">
        <v>2</v>
      </c>
      <c r="D1" s="1" t="s">
        <v>3</v>
      </c>
      <c r="E1" s="1" t="s">
        <v>4</v>
      </c>
      <c r="F1" s="1" t="s">
        <v>5</v>
      </c>
      <c r="G1" s="1" t="s">
        <v>6</v>
      </c>
    </row>
    <row r="2" spans="1:87">
      <c r="A2" s="581" t="s">
        <v>1520</v>
      </c>
      <c r="B2">
        <v>1.4240999999999999</v>
      </c>
      <c r="C2">
        <v>0.34720000000000001</v>
      </c>
      <c r="D2">
        <v>17.019300000000001</v>
      </c>
      <c r="E2">
        <v>0.64490000000000003</v>
      </c>
      <c r="F2">
        <v>1.2967</v>
      </c>
      <c r="G2">
        <v>1.1826000000000001</v>
      </c>
    </row>
    <row r="3" spans="1:87">
      <c r="A3" s="581" t="s">
        <v>1521</v>
      </c>
      <c r="B3">
        <v>1.5058</v>
      </c>
      <c r="C3">
        <v>0.30449999999999999</v>
      </c>
      <c r="D3">
        <v>14.585599999999999</v>
      </c>
      <c r="E3">
        <v>0.9355</v>
      </c>
      <c r="F3">
        <v>1.2212000000000001</v>
      </c>
      <c r="G3">
        <v>1.1353</v>
      </c>
    </row>
    <row r="4" spans="1:87">
      <c r="A4" s="581" t="s">
        <v>1522</v>
      </c>
      <c r="B4">
        <v>1</v>
      </c>
      <c r="C4">
        <v>0</v>
      </c>
      <c r="D4">
        <v>0</v>
      </c>
      <c r="E4">
        <v>0</v>
      </c>
      <c r="F4">
        <v>0</v>
      </c>
      <c r="G4">
        <v>0</v>
      </c>
      <c r="N4" s="17"/>
      <c r="U4" s="21"/>
      <c r="X4" s="21"/>
    </row>
    <row r="5" spans="1:87">
      <c r="A5" s="581" t="s">
        <v>1523</v>
      </c>
      <c r="B5">
        <v>1.3461000000000001</v>
      </c>
      <c r="C5">
        <v>0.2039</v>
      </c>
      <c r="D5">
        <v>3.9481000000000002</v>
      </c>
      <c r="E5">
        <v>0.77939999999999998</v>
      </c>
      <c r="F5">
        <v>1.4017999999999999</v>
      </c>
      <c r="G5">
        <v>1.5038</v>
      </c>
      <c r="L5" s="22"/>
      <c r="N5" s="17"/>
      <c r="U5" s="13"/>
      <c r="V5" s="23"/>
      <c r="Y5" s="11"/>
      <c r="AK5" s="11"/>
      <c r="AM5" s="12"/>
      <c r="AN5" s="24"/>
      <c r="AP5" s="12"/>
      <c r="AT5" s="11"/>
      <c r="AV5" s="12"/>
      <c r="AW5" s="24"/>
      <c r="AY5" s="12"/>
      <c r="BC5" s="11"/>
      <c r="BE5" s="12"/>
      <c r="BF5" s="24"/>
      <c r="BH5" s="12"/>
      <c r="BL5" s="11"/>
      <c r="BN5" s="12"/>
      <c r="BO5" s="24"/>
      <c r="BQ5" s="12"/>
      <c r="BU5" s="11"/>
      <c r="BW5" s="12"/>
      <c r="BX5" s="24"/>
      <c r="BZ5" s="12"/>
      <c r="CD5" s="11"/>
      <c r="CF5" s="12"/>
      <c r="CG5" s="24"/>
      <c r="CI5" s="12"/>
    </row>
    <row r="6" spans="1:87">
      <c r="A6" s="581" t="s">
        <v>1524</v>
      </c>
      <c r="B6">
        <v>1.3832</v>
      </c>
      <c r="C6">
        <v>0.2235</v>
      </c>
      <c r="D6">
        <v>5.0993000000000004</v>
      </c>
      <c r="E6">
        <v>0.63429999999999997</v>
      </c>
      <c r="F6">
        <v>1.4300999999999999</v>
      </c>
      <c r="G6">
        <v>1.3954</v>
      </c>
      <c r="U6" s="13"/>
      <c r="V6" s="23"/>
      <c r="Y6" s="11"/>
      <c r="AK6" s="11"/>
      <c r="AM6" s="12"/>
      <c r="AN6" s="24"/>
      <c r="AP6" s="12"/>
      <c r="AT6" s="11"/>
      <c r="AV6" s="12"/>
      <c r="AW6" s="24"/>
      <c r="AY6" s="12"/>
      <c r="BC6" s="11"/>
      <c r="BE6" s="12"/>
      <c r="BF6" s="24"/>
      <c r="BH6" s="12"/>
      <c r="BL6" s="11"/>
      <c r="BN6" s="12"/>
      <c r="BO6" s="24"/>
      <c r="BQ6" s="12"/>
      <c r="BU6" s="11"/>
      <c r="BW6" s="12"/>
      <c r="BX6" s="24"/>
      <c r="BZ6" s="12"/>
      <c r="CD6" s="11"/>
      <c r="CF6" s="12"/>
      <c r="CG6" s="24"/>
      <c r="CI6" s="12"/>
    </row>
    <row r="7" spans="1:87">
      <c r="A7" s="581" t="s">
        <v>1525</v>
      </c>
      <c r="B7">
        <v>1.1468</v>
      </c>
      <c r="C7">
        <v>0.1474</v>
      </c>
      <c r="D7">
        <v>1.8811</v>
      </c>
      <c r="E7">
        <v>0.78259999999999996</v>
      </c>
      <c r="F7">
        <v>1.2311000000000001</v>
      </c>
      <c r="G7">
        <v>1.6215999999999999</v>
      </c>
      <c r="N7" s="25"/>
      <c r="U7" s="13"/>
      <c r="V7" s="23"/>
      <c r="Y7" s="11"/>
      <c r="AK7" s="11"/>
      <c r="AM7" s="12"/>
      <c r="AN7" s="24"/>
      <c r="AP7" s="12"/>
      <c r="AT7" s="11"/>
      <c r="AV7" s="12"/>
      <c r="AW7" s="24"/>
      <c r="AY7" s="12"/>
      <c r="BC7" s="11"/>
      <c r="BE7" s="12"/>
      <c r="BF7" s="24"/>
      <c r="BH7" s="12"/>
      <c r="BL7" s="11"/>
      <c r="BN7" s="12"/>
      <c r="BO7" s="24"/>
      <c r="BQ7" s="12"/>
      <c r="BU7" s="11"/>
      <c r="BW7" s="12"/>
      <c r="BX7" s="24"/>
      <c r="BZ7" s="12"/>
      <c r="CD7" s="11"/>
      <c r="CF7" s="12"/>
      <c r="CG7" s="24"/>
      <c r="CI7" s="12"/>
    </row>
    <row r="8" spans="1:87">
      <c r="A8" s="581" t="s">
        <v>1526</v>
      </c>
      <c r="B8">
        <v>1.4594</v>
      </c>
      <c r="C8">
        <v>0.32440000000000002</v>
      </c>
      <c r="D8">
        <v>6.7023000000000001</v>
      </c>
      <c r="E8">
        <v>0.78759999999999997</v>
      </c>
      <c r="F8">
        <v>1.3411</v>
      </c>
      <c r="G8">
        <v>1.4395</v>
      </c>
      <c r="N8" s="15"/>
      <c r="U8" s="13"/>
      <c r="V8" s="23"/>
      <c r="Y8" s="11"/>
      <c r="AK8" s="11"/>
      <c r="AM8" s="12"/>
      <c r="AN8" s="24"/>
      <c r="AP8" s="12"/>
      <c r="AT8" s="11"/>
      <c r="AV8" s="12"/>
      <c r="AW8" s="24"/>
      <c r="AY8" s="12"/>
      <c r="BC8" s="11"/>
      <c r="BE8" s="12"/>
      <c r="BF8" s="24"/>
      <c r="BH8" s="12"/>
      <c r="BL8" s="11"/>
      <c r="BN8" s="12"/>
      <c r="BO8" s="24"/>
      <c r="BQ8" s="12"/>
      <c r="BU8" s="11"/>
      <c r="BW8" s="12"/>
      <c r="BX8" s="24"/>
      <c r="BZ8" s="12"/>
      <c r="CD8" s="11"/>
      <c r="CF8" s="12"/>
      <c r="CG8" s="24"/>
      <c r="CI8" s="12"/>
    </row>
    <row r="9" spans="1:87">
      <c r="A9" s="581" t="s">
        <v>1527</v>
      </c>
      <c r="B9">
        <v>1.3664000000000001</v>
      </c>
      <c r="C9">
        <v>0.21260000000000001</v>
      </c>
      <c r="D9">
        <v>5.4809000000000001</v>
      </c>
      <c r="E9">
        <v>0.54310000000000003</v>
      </c>
      <c r="F9">
        <v>1.43</v>
      </c>
      <c r="G9">
        <v>1.385</v>
      </c>
      <c r="U9" s="13"/>
      <c r="V9" s="23"/>
      <c r="Y9" s="11"/>
      <c r="AK9" s="11"/>
      <c r="AM9" s="12"/>
      <c r="AN9" s="24"/>
      <c r="AP9" s="12"/>
      <c r="AT9" s="11"/>
      <c r="AV9" s="12"/>
      <c r="AW9" s="24"/>
      <c r="AY9" s="12"/>
      <c r="BC9" s="11"/>
      <c r="BE9" s="12"/>
      <c r="BF9" s="24"/>
      <c r="BH9" s="12"/>
      <c r="BL9" s="11"/>
      <c r="BN9" s="12"/>
      <c r="BO9" s="24"/>
      <c r="BQ9" s="12"/>
      <c r="BU9" s="11"/>
      <c r="BW9" s="12"/>
      <c r="BX9" s="24"/>
      <c r="BZ9" s="12"/>
      <c r="CD9" s="11"/>
      <c r="CF9" s="12"/>
      <c r="CG9" s="24"/>
      <c r="CI9" s="12"/>
    </row>
    <row r="10" spans="1:87">
      <c r="A10" s="581" t="s">
        <v>1528</v>
      </c>
      <c r="B10">
        <v>1.3956999999999999</v>
      </c>
      <c r="C10">
        <v>0.12640000000000001</v>
      </c>
      <c r="D10">
        <v>2.6629</v>
      </c>
      <c r="E10">
        <v>0.60860000000000003</v>
      </c>
      <c r="F10">
        <v>2.0607000000000002</v>
      </c>
      <c r="G10">
        <v>2.1619000000000002</v>
      </c>
      <c r="U10" s="13"/>
      <c r="V10" s="23"/>
      <c r="W10" s="26"/>
      <c r="Y10" s="11"/>
      <c r="AM10" s="12"/>
      <c r="AV10" s="12"/>
      <c r="BE10" s="12"/>
      <c r="BN10" s="12"/>
      <c r="BW10" s="12"/>
      <c r="CF10" s="12"/>
    </row>
    <row r="11" spans="1:87">
      <c r="A11" s="581" t="s">
        <v>1529</v>
      </c>
      <c r="B11">
        <v>1.2707999999999999</v>
      </c>
      <c r="C11">
        <v>8.5999999999999993E-2</v>
      </c>
      <c r="D11">
        <v>1.9493</v>
      </c>
      <c r="E11">
        <v>0.35199999999999998</v>
      </c>
      <c r="F11">
        <v>2.0728</v>
      </c>
      <c r="G11">
        <v>1.9625999999999999</v>
      </c>
      <c r="U11" s="13"/>
      <c r="V11" s="23"/>
      <c r="Y11" s="11"/>
      <c r="AM11" s="12"/>
      <c r="AP11" s="12"/>
      <c r="AV11" s="12"/>
      <c r="AY11" s="12"/>
      <c r="BE11" s="12"/>
      <c r="BH11" s="12"/>
      <c r="BN11" s="12"/>
      <c r="BQ11" s="12"/>
      <c r="BW11" s="12"/>
      <c r="BZ11" s="12"/>
      <c r="CF11" s="12"/>
      <c r="CI11" s="12"/>
    </row>
    <row r="12" spans="1:87">
      <c r="A12" s="581" t="s">
        <v>1530</v>
      </c>
      <c r="B12">
        <v>1.3177000000000001</v>
      </c>
      <c r="C12">
        <v>0.16539999999999999</v>
      </c>
      <c r="D12">
        <v>3.1861999999999999</v>
      </c>
      <c r="E12">
        <v>0.61250000000000004</v>
      </c>
      <c r="F12">
        <v>1.4354</v>
      </c>
      <c r="G12">
        <v>1.5656000000000001</v>
      </c>
      <c r="N12" s="15"/>
      <c r="U12" s="13"/>
      <c r="V12" s="23"/>
      <c r="Y12" s="11"/>
      <c r="AM12" s="12"/>
      <c r="AV12" s="12"/>
      <c r="BE12" s="12"/>
      <c r="BN12" s="12"/>
      <c r="BW12" s="12"/>
      <c r="CF12" s="12"/>
    </row>
    <row r="13" spans="1:87">
      <c r="A13" s="581" t="s">
        <v>1531</v>
      </c>
      <c r="B13">
        <v>1.31</v>
      </c>
      <c r="C13">
        <v>0.10979999999999999</v>
      </c>
      <c r="D13">
        <v>1.8441000000000001</v>
      </c>
      <c r="E13">
        <v>0.61570000000000003</v>
      </c>
      <c r="F13">
        <v>1.6919999999999999</v>
      </c>
      <c r="G13">
        <v>2.0977000000000001</v>
      </c>
      <c r="N13" s="16"/>
      <c r="U13" s="13"/>
      <c r="V13" s="23"/>
      <c r="Y13" s="11"/>
      <c r="AM13" s="12"/>
      <c r="AV13" s="12"/>
      <c r="BE13" s="12"/>
      <c r="BN13" s="12"/>
      <c r="BW13" s="12"/>
      <c r="CF13" s="12"/>
    </row>
    <row r="14" spans="1:87">
      <c r="A14" s="581" t="s">
        <v>1532</v>
      </c>
      <c r="B14">
        <v>1.2582</v>
      </c>
      <c r="C14">
        <v>0.21659999999999999</v>
      </c>
      <c r="D14">
        <v>3.2595000000000001</v>
      </c>
      <c r="E14">
        <v>0.86170000000000002</v>
      </c>
      <c r="F14">
        <v>1.2591000000000001</v>
      </c>
      <c r="G14">
        <v>1.4665999999999999</v>
      </c>
      <c r="N14" s="16"/>
      <c r="U14" s="13"/>
      <c r="V14" s="23"/>
      <c r="Y14" s="11"/>
      <c r="AM14" s="12"/>
      <c r="AV14" s="12"/>
      <c r="BE14" s="12"/>
      <c r="BN14" s="12"/>
      <c r="BW14" s="12"/>
      <c r="CF14" s="12"/>
    </row>
    <row r="15" spans="1:87">
      <c r="A15" s="581" t="s">
        <v>1533</v>
      </c>
      <c r="B15">
        <v>1.2715000000000001</v>
      </c>
      <c r="C15">
        <v>0.1474</v>
      </c>
      <c r="D15">
        <v>2.7054999999999998</v>
      </c>
      <c r="E15">
        <v>0.53810000000000002</v>
      </c>
      <c r="F15">
        <v>1.4044000000000001</v>
      </c>
      <c r="G15">
        <v>1.5444</v>
      </c>
      <c r="N15" s="15"/>
      <c r="U15" s="13"/>
      <c r="V15" s="23"/>
      <c r="Y15" s="11"/>
      <c r="AM15" s="12"/>
      <c r="AV15" s="12"/>
    </row>
    <row r="16" spans="1:87">
      <c r="A16" s="581" t="s">
        <v>1534</v>
      </c>
      <c r="B16">
        <v>1.3632</v>
      </c>
      <c r="C16">
        <v>0.1394</v>
      </c>
      <c r="D16">
        <v>3.4426999999999999</v>
      </c>
      <c r="E16">
        <v>0.34939999999999999</v>
      </c>
      <c r="F16">
        <v>1.7589999999999999</v>
      </c>
      <c r="G16">
        <v>1.6254</v>
      </c>
      <c r="U16" s="13"/>
      <c r="V16" s="23"/>
      <c r="Y16" s="11"/>
      <c r="AM16" s="12"/>
      <c r="AV16" s="12"/>
      <c r="BE16" s="12"/>
      <c r="BN16" s="12"/>
      <c r="BW16" s="12"/>
      <c r="CF16" s="12"/>
    </row>
    <row r="17" spans="1:87">
      <c r="A17" s="581" t="s">
        <v>1535</v>
      </c>
      <c r="B17">
        <v>1</v>
      </c>
      <c r="C17">
        <v>0</v>
      </c>
      <c r="D17">
        <v>0</v>
      </c>
      <c r="E17">
        <v>0</v>
      </c>
      <c r="F17">
        <v>0</v>
      </c>
      <c r="G17">
        <v>0</v>
      </c>
      <c r="U17" s="13"/>
      <c r="V17" s="23"/>
      <c r="Y17" s="11"/>
      <c r="AK17" s="11"/>
      <c r="AM17" s="12"/>
      <c r="AN17" s="24"/>
      <c r="AP17" s="12"/>
      <c r="AT17" s="11"/>
      <c r="AV17" s="12"/>
      <c r="AW17" s="24"/>
      <c r="AY17" s="12"/>
      <c r="BC17" s="11"/>
      <c r="BE17" s="12"/>
      <c r="BF17" s="24"/>
      <c r="BH17" s="12"/>
      <c r="BL17" s="11"/>
      <c r="BN17" s="12"/>
      <c r="BO17" s="24"/>
      <c r="BQ17" s="12"/>
      <c r="BU17" s="11"/>
      <c r="BW17" s="12"/>
      <c r="BX17" s="24"/>
      <c r="BZ17" s="12"/>
      <c r="CD17" s="11"/>
      <c r="CF17" s="12"/>
      <c r="CG17" s="24"/>
      <c r="CI17" s="12"/>
    </row>
    <row r="18" spans="1:87">
      <c r="A18" s="581" t="s">
        <v>1536</v>
      </c>
      <c r="B18">
        <v>1.4701</v>
      </c>
      <c r="C18">
        <v>0.47160000000000002</v>
      </c>
      <c r="D18">
        <v>9.3770000000000007</v>
      </c>
      <c r="E18">
        <v>0.78339999999999999</v>
      </c>
      <c r="F18">
        <v>1.2161999999999999</v>
      </c>
      <c r="G18">
        <v>1.3087</v>
      </c>
      <c r="U18" s="13"/>
      <c r="V18" s="23"/>
      <c r="Y18" s="11"/>
      <c r="AK18" s="11"/>
      <c r="AM18" s="12"/>
      <c r="AN18" s="24"/>
      <c r="AP18" s="12"/>
      <c r="AT18" s="11"/>
      <c r="AV18" s="12"/>
      <c r="AW18" s="24"/>
      <c r="AY18" s="12"/>
      <c r="BC18" s="11"/>
      <c r="BE18" s="12"/>
      <c r="BF18" s="24"/>
      <c r="BH18" s="12"/>
      <c r="BL18" s="11"/>
      <c r="BN18" s="12"/>
      <c r="BO18" s="24"/>
      <c r="BQ18" s="12"/>
      <c r="BU18" s="11"/>
      <c r="BW18" s="12"/>
      <c r="BX18" s="24"/>
      <c r="BZ18" s="12"/>
      <c r="CD18" s="11"/>
      <c r="CF18" s="12"/>
      <c r="CG18" s="24"/>
      <c r="CI18" s="12"/>
    </row>
    <row r="19" spans="1:87">
      <c r="A19" s="581" t="s">
        <v>1537</v>
      </c>
      <c r="B19">
        <v>1.2746</v>
      </c>
      <c r="C19">
        <v>0.14080000000000001</v>
      </c>
      <c r="D19">
        <v>2.3730000000000002</v>
      </c>
      <c r="E19">
        <v>0.73319999999999996</v>
      </c>
      <c r="F19">
        <v>1.4507000000000001</v>
      </c>
      <c r="G19">
        <v>1.7710999999999999</v>
      </c>
      <c r="U19" s="13"/>
      <c r="V19" s="23"/>
      <c r="Y19" s="11"/>
      <c r="AK19" s="11"/>
      <c r="AM19" s="12"/>
      <c r="AN19" s="24"/>
      <c r="AP19" s="12"/>
      <c r="AT19" s="11"/>
      <c r="AV19" s="12"/>
      <c r="AW19" s="24"/>
      <c r="AY19" s="12"/>
      <c r="BC19" s="11"/>
      <c r="BE19" s="12"/>
      <c r="BF19" s="24"/>
      <c r="BH19" s="12"/>
      <c r="BL19" s="11"/>
      <c r="BN19" s="12"/>
      <c r="BO19" s="24"/>
      <c r="BQ19" s="12"/>
      <c r="BU19" s="11"/>
      <c r="BW19" s="12"/>
      <c r="BX19" s="24"/>
      <c r="BZ19" s="12"/>
      <c r="CD19" s="11"/>
      <c r="CF19" s="12"/>
      <c r="CG19" s="24"/>
      <c r="CI19" s="12"/>
    </row>
    <row r="20" spans="1:87">
      <c r="A20" s="581" t="s">
        <v>1538</v>
      </c>
      <c r="B20">
        <v>1.2289000000000001</v>
      </c>
      <c r="C20">
        <v>9.7299999999999998E-2</v>
      </c>
      <c r="D20">
        <v>2.3563000000000001</v>
      </c>
      <c r="E20">
        <v>0.38129999999999997</v>
      </c>
      <c r="F20">
        <v>1.6107</v>
      </c>
      <c r="G20">
        <v>1.7488999999999999</v>
      </c>
      <c r="Q20" s="22"/>
      <c r="U20" s="13"/>
      <c r="V20" s="23"/>
      <c r="Y20" s="11"/>
      <c r="AK20" s="11"/>
      <c r="AM20" s="12"/>
      <c r="AN20" s="24"/>
      <c r="AP20" s="12"/>
      <c r="AT20" s="11"/>
      <c r="AV20" s="12"/>
      <c r="AW20" s="24"/>
      <c r="AY20" s="12"/>
      <c r="BC20" s="11"/>
      <c r="BE20" s="12"/>
      <c r="BF20" s="24"/>
      <c r="BH20" s="12"/>
      <c r="BL20" s="11"/>
      <c r="BN20" s="12"/>
      <c r="BO20" s="24"/>
      <c r="BQ20" s="12"/>
      <c r="BU20" s="11"/>
      <c r="BW20" s="12"/>
      <c r="BX20" s="24"/>
      <c r="BZ20" s="12"/>
      <c r="CD20" s="11"/>
      <c r="CF20" s="12"/>
      <c r="CG20" s="24"/>
      <c r="CI20" s="12"/>
    </row>
    <row r="21" spans="1:87">
      <c r="A21" s="581" t="s">
        <v>1539</v>
      </c>
      <c r="B21">
        <v>1.2877000000000001</v>
      </c>
      <c r="C21">
        <v>0.18590000000000001</v>
      </c>
      <c r="D21">
        <v>4.5388000000000002</v>
      </c>
      <c r="E21">
        <v>0.48049999999999998</v>
      </c>
      <c r="F21">
        <v>1.3777999999999999</v>
      </c>
      <c r="G21">
        <v>1.3605</v>
      </c>
      <c r="U21" s="13"/>
      <c r="V21" s="23"/>
      <c r="Y21" s="11"/>
      <c r="AK21" s="11"/>
      <c r="AM21" s="12"/>
      <c r="AN21" s="24"/>
      <c r="AP21" s="12"/>
      <c r="AT21" s="11"/>
      <c r="AV21" s="12"/>
      <c r="AW21" s="24"/>
      <c r="AY21" s="12"/>
      <c r="BC21" s="11"/>
      <c r="BE21" s="12"/>
      <c r="BF21" s="24"/>
      <c r="BH21" s="12"/>
      <c r="BL21" s="11"/>
      <c r="BN21" s="12"/>
      <c r="BO21" s="24"/>
      <c r="BQ21" s="12"/>
      <c r="BU21" s="11"/>
      <c r="BW21" s="12"/>
      <c r="BX21" s="24"/>
      <c r="BZ21" s="12"/>
      <c r="CD21" s="11"/>
      <c r="CF21" s="12"/>
      <c r="CG21" s="24"/>
      <c r="CI21" s="12"/>
    </row>
    <row r="22" spans="1:87">
      <c r="A22" s="581" t="s">
        <v>1540</v>
      </c>
      <c r="B22">
        <v>1.2195</v>
      </c>
      <c r="C22">
        <v>0.22420000000000001</v>
      </c>
      <c r="D22">
        <v>6.1624999999999996</v>
      </c>
      <c r="E22">
        <v>0.77710000000000001</v>
      </c>
      <c r="F22">
        <v>1.2112000000000001</v>
      </c>
      <c r="G22">
        <v>1.1966000000000001</v>
      </c>
      <c r="K22" s="17"/>
      <c r="L22" s="17"/>
      <c r="M22" s="17"/>
      <c r="N22" s="17"/>
      <c r="O22" s="17"/>
      <c r="P22" s="17"/>
      <c r="U22" s="13"/>
      <c r="V22" s="23"/>
      <c r="Y22" s="11"/>
      <c r="AM22" s="12"/>
      <c r="AV22" s="12"/>
      <c r="BE22" s="12"/>
      <c r="BN22" s="12"/>
      <c r="BW22" s="12"/>
      <c r="CF22" s="12"/>
    </row>
    <row r="23" spans="1:87">
      <c r="A23" s="581" t="s">
        <v>1541</v>
      </c>
      <c r="B23">
        <v>1.2371000000000001</v>
      </c>
      <c r="C23">
        <v>0.11899999999999999</v>
      </c>
      <c r="D23">
        <v>2.1823000000000001</v>
      </c>
      <c r="E23">
        <v>0.47389999999999999</v>
      </c>
      <c r="F23">
        <v>1.5369999999999999</v>
      </c>
      <c r="G23">
        <v>1.7498</v>
      </c>
      <c r="K23" s="17"/>
      <c r="L23" s="17"/>
      <c r="M23" s="17"/>
      <c r="N23" s="18"/>
      <c r="O23" s="18"/>
      <c r="P23" s="17"/>
      <c r="R23" s="11"/>
      <c r="U23" s="13"/>
      <c r="V23" s="23"/>
      <c r="Y23" s="11"/>
      <c r="AM23" s="12"/>
      <c r="AP23" s="12"/>
      <c r="AV23" s="12"/>
      <c r="AY23" s="12"/>
      <c r="BE23" s="12"/>
      <c r="BH23" s="12"/>
      <c r="BN23" s="12"/>
      <c r="BQ23" s="12"/>
      <c r="BW23" s="12"/>
      <c r="BZ23" s="12"/>
      <c r="CF23" s="12"/>
      <c r="CI23" s="12"/>
    </row>
    <row r="24" spans="1:87">
      <c r="A24" s="581" t="s">
        <v>1542</v>
      </c>
      <c r="B24">
        <v>1.3781000000000001</v>
      </c>
      <c r="C24">
        <v>0.24429999999999999</v>
      </c>
      <c r="D24">
        <v>5.5091000000000001</v>
      </c>
      <c r="E24">
        <v>0.58699999999999997</v>
      </c>
      <c r="F24">
        <v>1.3851</v>
      </c>
      <c r="G24">
        <v>1.429</v>
      </c>
      <c r="K24" s="17"/>
      <c r="L24" s="17"/>
      <c r="M24" s="17"/>
      <c r="N24" s="18"/>
      <c r="O24" s="18"/>
      <c r="P24" s="17"/>
      <c r="R24" s="11"/>
      <c r="U24" s="13"/>
      <c r="V24" s="23"/>
      <c r="Y24" s="11"/>
      <c r="AM24" s="12"/>
      <c r="AV24" s="12"/>
      <c r="BE24" s="12"/>
      <c r="BN24" s="12"/>
      <c r="BW24" s="12"/>
      <c r="CF24" s="12"/>
    </row>
    <row r="25" spans="1:87">
      <c r="A25" s="581" t="s">
        <v>1543</v>
      </c>
      <c r="B25">
        <v>1.1626000000000001</v>
      </c>
      <c r="C25">
        <v>0.18360000000000001</v>
      </c>
      <c r="D25">
        <v>2.1549</v>
      </c>
      <c r="E25">
        <v>0.36459999999999998</v>
      </c>
      <c r="F25">
        <v>1.1747000000000001</v>
      </c>
      <c r="G25">
        <v>1.4939</v>
      </c>
      <c r="K25" s="17"/>
      <c r="L25" s="17"/>
      <c r="M25" s="17"/>
      <c r="N25" s="18"/>
      <c r="O25" s="17"/>
      <c r="P25" s="17"/>
      <c r="U25" s="13"/>
      <c r="V25" s="23"/>
      <c r="Y25" s="11"/>
      <c r="AM25" s="12"/>
      <c r="AV25" s="12"/>
      <c r="BE25" s="12"/>
      <c r="BN25" s="12"/>
      <c r="BW25" s="12"/>
      <c r="CF25" s="12"/>
    </row>
    <row r="26" spans="1:87">
      <c r="A26" s="581" t="s">
        <v>1544</v>
      </c>
      <c r="B26">
        <v>1.3194999999999999</v>
      </c>
      <c r="C26">
        <v>0.1203</v>
      </c>
      <c r="D26">
        <v>1.7476</v>
      </c>
      <c r="E26">
        <v>0.53610000000000002</v>
      </c>
      <c r="F26">
        <v>1.7158</v>
      </c>
      <c r="G26">
        <v>2.5204</v>
      </c>
      <c r="Y26" s="11"/>
      <c r="AM26" s="12"/>
      <c r="AV26" s="12"/>
      <c r="BE26" s="12"/>
      <c r="BN26" s="12"/>
      <c r="BW26" s="12"/>
      <c r="CF26" s="12"/>
    </row>
    <row r="27" spans="1:87">
      <c r="A27" s="581" t="s">
        <v>1545</v>
      </c>
      <c r="B27">
        <v>1.2074</v>
      </c>
      <c r="C27">
        <v>7.7700000000000005E-2</v>
      </c>
      <c r="D27">
        <v>1.5826</v>
      </c>
      <c r="E27">
        <v>0.49109999999999998</v>
      </c>
      <c r="F27">
        <v>1.718</v>
      </c>
      <c r="G27">
        <v>1.7853000000000001</v>
      </c>
      <c r="M27" s="12"/>
      <c r="Y27" s="11"/>
      <c r="AM27" s="12"/>
      <c r="AV27" s="12"/>
    </row>
    <row r="28" spans="1:87">
      <c r="A28" s="581" t="s">
        <v>1546</v>
      </c>
      <c r="B28">
        <v>1.2981</v>
      </c>
      <c r="C28">
        <v>0.25540000000000002</v>
      </c>
      <c r="D28">
        <v>4.1947999999999999</v>
      </c>
      <c r="E28">
        <v>0.83240000000000003</v>
      </c>
      <c r="F28">
        <v>1.2716000000000001</v>
      </c>
      <c r="G28">
        <v>1.4991000000000001</v>
      </c>
      <c r="M28" s="13"/>
      <c r="N28" s="12"/>
      <c r="O28" s="14"/>
      <c r="Q28" s="12"/>
      <c r="Y28" s="11"/>
      <c r="AM28" s="12"/>
      <c r="AV28" s="12"/>
      <c r="BE28" s="12"/>
      <c r="BN28" s="12"/>
      <c r="BW28" s="12"/>
      <c r="CF28" s="12"/>
    </row>
    <row r="29" spans="1:87">
      <c r="A29" s="581" t="s">
        <v>1547</v>
      </c>
      <c r="B29">
        <v>1.3148</v>
      </c>
      <c r="C29">
        <v>0.26669999999999999</v>
      </c>
      <c r="D29">
        <v>9.0220000000000002</v>
      </c>
      <c r="E29">
        <v>0.85650000000000004</v>
      </c>
      <c r="F29">
        <v>1.2591000000000001</v>
      </c>
      <c r="G29">
        <v>1.1928000000000001</v>
      </c>
      <c r="M29" s="13"/>
      <c r="N29" s="12"/>
      <c r="O29" s="14"/>
      <c r="Q29" s="12"/>
      <c r="Y29" s="11"/>
      <c r="AK29" s="11"/>
      <c r="AM29" s="12"/>
      <c r="AN29" s="24"/>
      <c r="AP29" s="12"/>
      <c r="AT29" s="11"/>
      <c r="AV29" s="12"/>
      <c r="AW29" s="24"/>
      <c r="AY29" s="12"/>
      <c r="BC29" s="11"/>
      <c r="BE29" s="12"/>
      <c r="BF29" s="24"/>
      <c r="BH29" s="12"/>
      <c r="BL29" s="11"/>
      <c r="BN29" s="12"/>
      <c r="BO29" s="24"/>
      <c r="BQ29" s="12"/>
      <c r="BU29" s="11"/>
      <c r="BW29" s="12"/>
      <c r="BX29" s="24"/>
      <c r="BZ29" s="12"/>
      <c r="CD29" s="11"/>
      <c r="CF29" s="12"/>
      <c r="CG29" s="24"/>
      <c r="CI29" s="12"/>
    </row>
    <row r="30" spans="1:87">
      <c r="A30" s="581" t="s">
        <v>1548</v>
      </c>
      <c r="B30">
        <v>1.3133999999999999</v>
      </c>
      <c r="C30">
        <v>0.25979999999999998</v>
      </c>
      <c r="D30">
        <v>5.0430999999999999</v>
      </c>
      <c r="E30">
        <v>0.62060000000000004</v>
      </c>
      <c r="F30">
        <v>1.3351999999999999</v>
      </c>
      <c r="G30">
        <v>1.5876999999999999</v>
      </c>
      <c r="Q30" s="12"/>
      <c r="Y30" s="11"/>
      <c r="AK30" s="11"/>
      <c r="AM30" s="12"/>
      <c r="AN30" s="24"/>
      <c r="AP30" s="12"/>
      <c r="AT30" s="11"/>
      <c r="AV30" s="12"/>
      <c r="AW30" s="24"/>
      <c r="AY30" s="12"/>
      <c r="BC30" s="11"/>
      <c r="BE30" s="12"/>
      <c r="BF30" s="24"/>
      <c r="BH30" s="12"/>
      <c r="BL30" s="11"/>
      <c r="BN30" s="12"/>
      <c r="BO30" s="24"/>
      <c r="BQ30" s="12"/>
      <c r="BU30" s="11"/>
      <c r="BW30" s="12"/>
      <c r="BX30" s="24"/>
      <c r="BZ30" s="12"/>
      <c r="CD30" s="11"/>
      <c r="CF30" s="12"/>
      <c r="CG30" s="24"/>
      <c r="CI30" s="12"/>
    </row>
    <row r="31" spans="1:87">
      <c r="A31" s="581" t="s">
        <v>1549</v>
      </c>
      <c r="B31">
        <v>1.3952</v>
      </c>
      <c r="C31">
        <v>0.27179999999999999</v>
      </c>
      <c r="D31">
        <v>4.3795000000000002</v>
      </c>
      <c r="E31">
        <v>0.66279999999999994</v>
      </c>
      <c r="F31">
        <v>1.4038999999999999</v>
      </c>
      <c r="G31">
        <v>1.7199</v>
      </c>
      <c r="Q31" s="15"/>
      <c r="Y31" s="11"/>
      <c r="AK31" s="11"/>
      <c r="AM31" s="12"/>
      <c r="AN31" s="24"/>
      <c r="AP31" s="12"/>
      <c r="AT31" s="11"/>
      <c r="AV31" s="12"/>
      <c r="AW31" s="24"/>
      <c r="AY31" s="12"/>
      <c r="BC31" s="11"/>
      <c r="BE31" s="12"/>
      <c r="BF31" s="24"/>
      <c r="BH31" s="12"/>
      <c r="BL31" s="11"/>
      <c r="BN31" s="12"/>
      <c r="BO31" s="24"/>
      <c r="BQ31" s="12"/>
      <c r="BU31" s="11"/>
      <c r="BW31" s="12"/>
      <c r="BX31" s="24"/>
      <c r="BZ31" s="12"/>
      <c r="CD31" s="11"/>
      <c r="CF31" s="12"/>
      <c r="CG31" s="24"/>
      <c r="CI31" s="12"/>
    </row>
    <row r="32" spans="1:87">
      <c r="A32" s="581" t="s">
        <v>1550</v>
      </c>
      <c r="B32">
        <v>1</v>
      </c>
      <c r="C32">
        <v>0</v>
      </c>
      <c r="D32">
        <v>0</v>
      </c>
      <c r="E32">
        <v>0</v>
      </c>
      <c r="F32">
        <v>0</v>
      </c>
      <c r="G32">
        <v>0</v>
      </c>
      <c r="Y32" s="11"/>
      <c r="AK32" s="11"/>
      <c r="AM32" s="12"/>
      <c r="AN32" s="24"/>
      <c r="AP32" s="12"/>
      <c r="AT32" s="11"/>
      <c r="AV32" s="12"/>
      <c r="AW32" s="24"/>
      <c r="AY32" s="12"/>
      <c r="BC32" s="11"/>
      <c r="BE32" s="12"/>
      <c r="BF32" s="24"/>
      <c r="BH32" s="12"/>
      <c r="BL32" s="11"/>
      <c r="BN32" s="12"/>
      <c r="BO32" s="24"/>
      <c r="BQ32" s="12"/>
      <c r="BU32" s="11"/>
      <c r="BW32" s="12"/>
      <c r="BX32" s="24"/>
      <c r="BZ32" s="12"/>
      <c r="CD32" s="11"/>
      <c r="CF32" s="12"/>
      <c r="CG32" s="24"/>
      <c r="CI32" s="12"/>
    </row>
    <row r="33" spans="1:87">
      <c r="A33" s="581" t="s">
        <v>1551</v>
      </c>
      <c r="B33">
        <v>1.3472999999999999</v>
      </c>
      <c r="C33">
        <v>0.24460000000000001</v>
      </c>
      <c r="D33">
        <v>5.6329000000000002</v>
      </c>
      <c r="E33">
        <v>0.67020000000000002</v>
      </c>
      <c r="F33">
        <v>1.3793</v>
      </c>
      <c r="G33">
        <v>1.4542999999999999</v>
      </c>
      <c r="Y33" s="11"/>
      <c r="AK33" s="11"/>
      <c r="AM33" s="12"/>
      <c r="AN33" s="24"/>
      <c r="AP33" s="12"/>
      <c r="AT33" s="11"/>
      <c r="AV33" s="12"/>
      <c r="AW33" s="24"/>
      <c r="AY33" s="12"/>
      <c r="BC33" s="11"/>
      <c r="BE33" s="12"/>
      <c r="BF33" s="24"/>
      <c r="BH33" s="12"/>
      <c r="BL33" s="11"/>
      <c r="BN33" s="12"/>
      <c r="BO33" s="24"/>
      <c r="BQ33" s="12"/>
      <c r="BU33" s="11"/>
      <c r="BW33" s="12"/>
      <c r="BX33" s="24"/>
      <c r="BZ33" s="12"/>
      <c r="CD33" s="11"/>
      <c r="CF33" s="12"/>
      <c r="CG33" s="24"/>
      <c r="CI33" s="12"/>
    </row>
    <row r="34" spans="1:87">
      <c r="A34" s="581" t="s">
        <v>1552</v>
      </c>
      <c r="B34">
        <v>1.4052</v>
      </c>
      <c r="C34">
        <v>0.52459999999999996</v>
      </c>
      <c r="D34">
        <v>16.0322</v>
      </c>
      <c r="E34">
        <v>0.95369999999999999</v>
      </c>
      <c r="F34">
        <v>1.159</v>
      </c>
      <c r="G34">
        <v>1.1411</v>
      </c>
      <c r="K34" s="17"/>
      <c r="L34" s="17"/>
      <c r="M34" s="17"/>
      <c r="N34" s="17"/>
      <c r="O34" s="17"/>
      <c r="P34" s="17"/>
      <c r="Y34" s="11"/>
      <c r="AM34" s="12"/>
      <c r="AV34" s="12"/>
      <c r="BE34" s="12"/>
      <c r="BN34" s="12"/>
      <c r="BW34" s="12"/>
      <c r="CF34" s="12"/>
    </row>
    <row r="35" spans="1:87">
      <c r="A35" s="581" t="s">
        <v>1553</v>
      </c>
      <c r="B35">
        <v>1</v>
      </c>
      <c r="C35">
        <v>0</v>
      </c>
      <c r="D35">
        <v>0</v>
      </c>
      <c r="E35">
        <v>0</v>
      </c>
      <c r="F35">
        <v>0</v>
      </c>
      <c r="G35">
        <v>0</v>
      </c>
      <c r="K35" s="17"/>
      <c r="L35" s="17"/>
      <c r="M35" s="17"/>
      <c r="N35" s="18"/>
      <c r="O35" s="18"/>
      <c r="P35" s="17"/>
      <c r="Y35" s="11"/>
      <c r="AM35" s="12"/>
      <c r="AP35" s="12"/>
      <c r="AV35" s="12"/>
      <c r="AY35" s="12"/>
      <c r="BE35" s="12"/>
      <c r="BH35" s="12"/>
      <c r="BN35" s="12"/>
      <c r="BQ35" s="12"/>
      <c r="BW35" s="12"/>
      <c r="BZ35" s="12"/>
      <c r="CF35" s="12"/>
      <c r="CI35" s="12"/>
    </row>
    <row r="36" spans="1:87">
      <c r="A36" s="581" t="s">
        <v>1554</v>
      </c>
      <c r="B36">
        <v>1.3632</v>
      </c>
      <c r="C36">
        <v>0.45229999999999998</v>
      </c>
      <c r="D36">
        <v>9.8062000000000005</v>
      </c>
      <c r="E36">
        <v>0.91769999999999996</v>
      </c>
      <c r="F36">
        <v>1.1729000000000001</v>
      </c>
      <c r="G36">
        <v>1.2408999999999999</v>
      </c>
      <c r="K36" s="17"/>
      <c r="L36" s="17"/>
      <c r="M36" s="17"/>
      <c r="N36" s="18"/>
      <c r="O36" s="18"/>
      <c r="P36" s="17"/>
      <c r="Y36" s="11"/>
      <c r="AM36" s="12"/>
      <c r="AV36" s="12"/>
      <c r="BE36" s="12"/>
      <c r="BN36" s="12"/>
      <c r="BW36" s="12"/>
      <c r="CF36" s="12"/>
    </row>
    <row r="37" spans="1:87">
      <c r="A37" s="581" t="s">
        <v>1555</v>
      </c>
      <c r="B37">
        <v>1.2262</v>
      </c>
      <c r="C37">
        <v>0.1343</v>
      </c>
      <c r="D37">
        <v>3.3616000000000001</v>
      </c>
      <c r="E37">
        <v>0.87360000000000004</v>
      </c>
      <c r="F37">
        <v>1.3836999999999999</v>
      </c>
      <c r="G37">
        <v>1.3994</v>
      </c>
      <c r="K37" s="17"/>
      <c r="L37" s="17"/>
      <c r="M37" s="17"/>
      <c r="N37" s="17"/>
      <c r="O37" s="17"/>
      <c r="P37" s="17"/>
      <c r="Y37" s="11"/>
    </row>
    <row r="38" spans="1:87">
      <c r="A38" s="581" t="s">
        <v>1556</v>
      </c>
      <c r="B38">
        <v>1.2718</v>
      </c>
      <c r="C38">
        <v>0.1512</v>
      </c>
      <c r="D38">
        <v>2.8689</v>
      </c>
      <c r="E38">
        <v>0.62890000000000001</v>
      </c>
      <c r="F38">
        <v>1.4944</v>
      </c>
      <c r="G38">
        <v>1.7206999999999999</v>
      </c>
      <c r="Y38" s="11"/>
    </row>
    <row r="39" spans="1:87">
      <c r="A39" s="581" t="s">
        <v>1557</v>
      </c>
      <c r="B39">
        <v>1.2245999999999999</v>
      </c>
      <c r="C39">
        <v>0.17150000000000001</v>
      </c>
      <c r="D39">
        <v>4.4351000000000003</v>
      </c>
      <c r="E39">
        <v>0.71209999999999996</v>
      </c>
      <c r="F39">
        <v>1.3107</v>
      </c>
      <c r="G39">
        <v>1.31</v>
      </c>
      <c r="Y39" s="11"/>
    </row>
    <row r="40" spans="1:87">
      <c r="A40" s="581" t="s">
        <v>1558</v>
      </c>
      <c r="B40">
        <v>1.2136</v>
      </c>
      <c r="C40">
        <v>0.2412</v>
      </c>
      <c r="D40">
        <v>2.9298000000000002</v>
      </c>
      <c r="E40">
        <v>0.50190000000000001</v>
      </c>
      <c r="F40">
        <v>1.1880999999999999</v>
      </c>
      <c r="G40">
        <v>1.5346</v>
      </c>
      <c r="N40" s="12"/>
      <c r="O40" s="14"/>
      <c r="Q40" s="12"/>
      <c r="Y40" s="11"/>
    </row>
    <row r="41" spans="1:87">
      <c r="A41" s="581" t="s">
        <v>1559</v>
      </c>
      <c r="B41">
        <v>1.2733000000000001</v>
      </c>
      <c r="C41">
        <v>0.14499999999999999</v>
      </c>
      <c r="D41">
        <v>2.4074</v>
      </c>
      <c r="E41">
        <v>0.73650000000000004</v>
      </c>
      <c r="F41">
        <v>1.4856</v>
      </c>
      <c r="G41">
        <v>1.827</v>
      </c>
      <c r="N41" s="12"/>
      <c r="O41" s="14"/>
      <c r="Q41" s="12"/>
      <c r="Y41" s="11"/>
    </row>
    <row r="42" spans="1:87">
      <c r="A42" s="581" t="s">
        <v>1560</v>
      </c>
      <c r="B42">
        <v>1.3282</v>
      </c>
      <c r="C42">
        <v>0.2039</v>
      </c>
      <c r="D42">
        <v>3.4474</v>
      </c>
      <c r="E42">
        <v>0.67789999999999995</v>
      </c>
      <c r="F42">
        <v>1.4273</v>
      </c>
      <c r="G42">
        <v>1.8514999999999999</v>
      </c>
      <c r="Y42" s="11"/>
    </row>
    <row r="43" spans="1:87">
      <c r="A43" s="581" t="s">
        <v>1561</v>
      </c>
      <c r="B43">
        <v>1.2716000000000001</v>
      </c>
      <c r="C43">
        <v>0.1416</v>
      </c>
      <c r="D43">
        <v>2.7749999999999999</v>
      </c>
      <c r="E43">
        <v>0.73140000000000005</v>
      </c>
      <c r="F43">
        <v>1.52</v>
      </c>
      <c r="G43">
        <v>1.8328</v>
      </c>
      <c r="Q43" s="12"/>
      <c r="Y43" s="11"/>
    </row>
    <row r="44" spans="1:87">
      <c r="A44" s="581" t="s">
        <v>1562</v>
      </c>
      <c r="B44">
        <v>1.4011</v>
      </c>
      <c r="C44">
        <v>0.31159999999999999</v>
      </c>
      <c r="D44">
        <v>5.8834</v>
      </c>
      <c r="E44">
        <v>0.60589999999999999</v>
      </c>
      <c r="F44">
        <v>1.2988</v>
      </c>
      <c r="G44">
        <v>1.4371</v>
      </c>
      <c r="Y44" s="11"/>
    </row>
    <row r="45" spans="1:87">
      <c r="A45" s="581" t="s">
        <v>1563</v>
      </c>
      <c r="B45">
        <v>1.3444</v>
      </c>
      <c r="C45">
        <v>0.32790000000000002</v>
      </c>
      <c r="D45">
        <v>5.4473000000000003</v>
      </c>
      <c r="E45">
        <v>0.86539999999999995</v>
      </c>
      <c r="F45">
        <v>1.2622</v>
      </c>
      <c r="G45">
        <v>1.4347000000000001</v>
      </c>
      <c r="Q45" s="12"/>
      <c r="Y45" s="11"/>
    </row>
    <row r="46" spans="1:87">
      <c r="A46" s="581" t="s">
        <v>1564</v>
      </c>
      <c r="B46">
        <v>1</v>
      </c>
      <c r="C46">
        <v>0</v>
      </c>
      <c r="D46">
        <v>0</v>
      </c>
      <c r="E46">
        <v>0</v>
      </c>
      <c r="F46">
        <v>0</v>
      </c>
      <c r="G46">
        <v>0</v>
      </c>
      <c r="Q46" s="16"/>
      <c r="Y46" s="11"/>
    </row>
    <row r="47" spans="1:87">
      <c r="A47" s="581" t="s">
        <v>1565</v>
      </c>
      <c r="B47">
        <v>1.1751</v>
      </c>
      <c r="C47">
        <v>4.6699999999999998E-2</v>
      </c>
      <c r="D47">
        <v>2.0855000000000001</v>
      </c>
      <c r="E47">
        <v>0.7984</v>
      </c>
      <c r="F47">
        <v>2.8605</v>
      </c>
      <c r="G47">
        <v>1.5557000000000001</v>
      </c>
      <c r="Q47" s="16"/>
      <c r="Y47" s="11"/>
    </row>
    <row r="48" spans="1:87">
      <c r="A48" s="581" t="s">
        <v>1566</v>
      </c>
      <c r="B48">
        <v>1.3863000000000001</v>
      </c>
      <c r="C48">
        <v>0.31430000000000002</v>
      </c>
      <c r="D48">
        <v>5.3211000000000004</v>
      </c>
      <c r="E48">
        <v>0.96789999999999998</v>
      </c>
      <c r="F48">
        <v>1.2837000000000001</v>
      </c>
      <c r="G48">
        <v>1.5077</v>
      </c>
      <c r="Y48" s="11"/>
    </row>
    <row r="49" spans="1:25">
      <c r="A49" s="581" t="s">
        <v>1567</v>
      </c>
      <c r="B49">
        <v>1.3371999999999999</v>
      </c>
      <c r="C49">
        <v>0.3548</v>
      </c>
      <c r="D49">
        <v>5.9280999999999997</v>
      </c>
      <c r="E49">
        <v>0.92310000000000003</v>
      </c>
      <c r="F49">
        <v>1.2101999999999999</v>
      </c>
      <c r="G49">
        <v>1.4012</v>
      </c>
      <c r="Y49" s="11"/>
    </row>
    <row r="50" spans="1:25">
      <c r="A50" s="581" t="s">
        <v>1568</v>
      </c>
      <c r="B50">
        <v>1.2258</v>
      </c>
      <c r="C50">
        <v>0.15160000000000001</v>
      </c>
      <c r="D50">
        <v>2.0773999999999999</v>
      </c>
      <c r="E50">
        <v>0.78710000000000002</v>
      </c>
      <c r="F50">
        <v>1.3958999999999999</v>
      </c>
      <c r="G50">
        <v>2.0634999999999999</v>
      </c>
      <c r="Y50" s="11"/>
    </row>
    <row r="51" spans="1:25">
      <c r="A51" s="581" t="s">
        <v>1569</v>
      </c>
      <c r="B51">
        <v>1.3217000000000001</v>
      </c>
      <c r="C51">
        <v>0.30559999999999998</v>
      </c>
      <c r="D51">
        <v>10.9025</v>
      </c>
      <c r="E51">
        <v>0.86839999999999995</v>
      </c>
      <c r="F51">
        <v>1.2398</v>
      </c>
      <c r="G51">
        <v>1.1758</v>
      </c>
      <c r="Y51" s="11"/>
    </row>
    <row r="52" spans="1:25">
      <c r="A52" s="581" t="s">
        <v>1570</v>
      </c>
      <c r="B52">
        <v>1.5023</v>
      </c>
      <c r="C52">
        <v>0.37509999999999999</v>
      </c>
      <c r="D52">
        <v>6.8585000000000003</v>
      </c>
      <c r="E52">
        <v>0.81369999999999998</v>
      </c>
      <c r="F52">
        <v>1.3882000000000001</v>
      </c>
      <c r="G52">
        <v>1.5727</v>
      </c>
      <c r="Y52" s="11"/>
    </row>
    <row r="53" spans="1:25">
      <c r="A53" s="581" t="s">
        <v>1571</v>
      </c>
      <c r="B53">
        <v>1.3432999999999999</v>
      </c>
      <c r="C53">
        <v>0.32490000000000002</v>
      </c>
      <c r="D53">
        <v>10.540900000000001</v>
      </c>
      <c r="E53">
        <v>0.86750000000000005</v>
      </c>
      <c r="F53">
        <v>1.2205999999999999</v>
      </c>
      <c r="G53">
        <v>1.1786000000000001</v>
      </c>
      <c r="K53" s="17"/>
      <c r="N53" s="17"/>
      <c r="O53" s="17"/>
      <c r="P53" s="17"/>
      <c r="Y53" s="11"/>
    </row>
    <row r="54" spans="1:25">
      <c r="A54" s="581" t="s">
        <v>1572</v>
      </c>
      <c r="B54">
        <v>1.2806999999999999</v>
      </c>
      <c r="C54">
        <v>0.24440000000000001</v>
      </c>
      <c r="D54">
        <v>4.4901</v>
      </c>
      <c r="E54">
        <v>0.85929999999999995</v>
      </c>
      <c r="F54">
        <v>1.2577</v>
      </c>
      <c r="G54">
        <v>1.4224000000000001</v>
      </c>
      <c r="K54" s="17"/>
      <c r="N54" s="12"/>
      <c r="O54" s="12"/>
      <c r="Y54" s="11"/>
    </row>
    <row r="55" spans="1:25">
      <c r="A55" s="581" t="s">
        <v>1573</v>
      </c>
      <c r="B55">
        <v>1.3265</v>
      </c>
      <c r="C55">
        <v>0.24859999999999999</v>
      </c>
      <c r="D55">
        <v>4.8856000000000002</v>
      </c>
      <c r="E55">
        <v>0.74</v>
      </c>
      <c r="F55">
        <v>1.2706999999999999</v>
      </c>
      <c r="G55">
        <v>1.4101999999999999</v>
      </c>
      <c r="K55" s="17"/>
      <c r="N55" s="12"/>
      <c r="O55" s="12"/>
      <c r="Y55" s="11"/>
    </row>
    <row r="56" spans="1:25">
      <c r="A56" s="581" t="s">
        <v>1574</v>
      </c>
      <c r="B56">
        <v>1.3182</v>
      </c>
      <c r="C56">
        <v>0.31019999999999998</v>
      </c>
      <c r="D56">
        <v>9.8598999999999997</v>
      </c>
      <c r="E56">
        <v>0.87450000000000006</v>
      </c>
      <c r="F56">
        <v>1.2185999999999999</v>
      </c>
      <c r="G56">
        <v>1.1861999999999999</v>
      </c>
      <c r="K56" s="17"/>
      <c r="Y56" s="11"/>
    </row>
    <row r="57" spans="1:25">
      <c r="A57" s="581" t="s">
        <v>1575</v>
      </c>
      <c r="B57">
        <v>1.3978999999999999</v>
      </c>
      <c r="C57">
        <v>0.42380000000000001</v>
      </c>
      <c r="D57">
        <v>17.930299999999999</v>
      </c>
      <c r="E57">
        <v>0.88519999999999999</v>
      </c>
      <c r="F57">
        <v>1.2011000000000001</v>
      </c>
      <c r="G57">
        <v>1.1247</v>
      </c>
      <c r="Y57" s="11"/>
    </row>
    <row r="58" spans="1:25">
      <c r="A58" s="581" t="s">
        <v>1576</v>
      </c>
      <c r="B58">
        <v>1.4219999999999999</v>
      </c>
      <c r="C58">
        <v>0.41160000000000002</v>
      </c>
      <c r="D58">
        <v>14.254300000000001</v>
      </c>
      <c r="E58">
        <v>0.85929999999999995</v>
      </c>
      <c r="F58">
        <v>1.2223999999999999</v>
      </c>
      <c r="G58">
        <v>1.1688000000000001</v>
      </c>
      <c r="Y58" s="11"/>
    </row>
    <row r="59" spans="1:25">
      <c r="A59" s="581" t="s">
        <v>1577</v>
      </c>
      <c r="B59">
        <v>1.3628</v>
      </c>
      <c r="C59">
        <v>0.36720000000000003</v>
      </c>
      <c r="D59">
        <v>19.043299999999999</v>
      </c>
      <c r="E59">
        <v>0.872</v>
      </c>
      <c r="F59">
        <v>1.2107000000000001</v>
      </c>
      <c r="G59">
        <v>1.0985</v>
      </c>
      <c r="N59" s="12"/>
      <c r="O59" s="14"/>
      <c r="Q59" s="12"/>
      <c r="Y59" s="11"/>
    </row>
    <row r="60" spans="1:25">
      <c r="A60" s="581" t="s">
        <v>1578</v>
      </c>
      <c r="B60">
        <v>1.44</v>
      </c>
      <c r="C60">
        <v>0.27139999999999997</v>
      </c>
      <c r="D60">
        <v>7.8417000000000003</v>
      </c>
      <c r="E60">
        <v>0.81100000000000005</v>
      </c>
      <c r="F60">
        <v>1.4819</v>
      </c>
      <c r="G60">
        <v>1.4359999999999999</v>
      </c>
      <c r="N60" s="12"/>
      <c r="O60" s="14"/>
      <c r="Q60" s="12"/>
      <c r="Y60" s="11"/>
    </row>
    <row r="61" spans="1:25">
      <c r="A61" s="581" t="s">
        <v>1579</v>
      </c>
      <c r="B61">
        <v>1.3415999999999999</v>
      </c>
      <c r="C61">
        <v>0.3014</v>
      </c>
      <c r="D61">
        <v>14.1333</v>
      </c>
      <c r="E61">
        <v>0.75029999999999997</v>
      </c>
      <c r="F61">
        <v>1.2551000000000001</v>
      </c>
      <c r="G61">
        <v>1.1292</v>
      </c>
      <c r="Y61" s="11"/>
    </row>
    <row r="62" spans="1:25">
      <c r="A62" s="581" t="s">
        <v>1580</v>
      </c>
      <c r="B62">
        <v>1.4503999999999999</v>
      </c>
      <c r="C62">
        <v>0.36830000000000002</v>
      </c>
      <c r="D62">
        <v>9.4419000000000004</v>
      </c>
      <c r="E62">
        <v>0.82979999999999998</v>
      </c>
      <c r="F62">
        <v>1.2869999999999999</v>
      </c>
      <c r="G62">
        <v>1.2859</v>
      </c>
      <c r="Q62" s="12"/>
      <c r="Y62" s="11"/>
    </row>
    <row r="63" spans="1:25">
      <c r="A63" s="581" t="s">
        <v>1581</v>
      </c>
      <c r="B63">
        <v>0.6804</v>
      </c>
      <c r="C63">
        <v>0.11840000000000001</v>
      </c>
      <c r="D63">
        <v>3.5171999999999999</v>
      </c>
      <c r="E63">
        <v>0.42649999999999999</v>
      </c>
      <c r="F63">
        <v>0</v>
      </c>
      <c r="G63">
        <v>0</v>
      </c>
      <c r="Q63" s="20"/>
      <c r="Y63" s="11"/>
    </row>
    <row r="64" spans="1:25">
      <c r="Y64" s="11"/>
    </row>
    <row r="67" spans="14:17">
      <c r="N67" s="12"/>
      <c r="O67" s="19"/>
    </row>
    <row r="68" spans="14:17">
      <c r="N68" s="12"/>
      <c r="O68" s="19"/>
    </row>
    <row r="70" spans="14:17">
      <c r="Q70" s="12"/>
    </row>
    <row r="72" spans="14:17">
      <c r="Q72" s="12"/>
    </row>
    <row r="73" spans="14:17">
      <c r="Q73" s="16"/>
    </row>
    <row r="74" spans="14:17">
      <c r="Q74" s="16"/>
    </row>
    <row r="79" spans="14:17">
      <c r="Q79" s="22"/>
    </row>
    <row r="81" spans="11:18">
      <c r="K81" s="17"/>
      <c r="L81" s="17"/>
      <c r="M81" s="17"/>
      <c r="N81" s="17"/>
      <c r="O81" s="17"/>
      <c r="P81" s="17"/>
    </row>
    <row r="82" spans="11:18">
      <c r="K82" s="17"/>
      <c r="L82" s="17"/>
      <c r="M82" s="17"/>
      <c r="N82" s="18"/>
      <c r="O82" s="18"/>
      <c r="P82" s="17"/>
      <c r="R82" s="11"/>
    </row>
    <row r="83" spans="11:18">
      <c r="K83" s="17"/>
      <c r="L83" s="17"/>
      <c r="M83" s="17"/>
      <c r="N83" s="18"/>
      <c r="O83" s="18"/>
      <c r="P83" s="17"/>
      <c r="R83" s="11"/>
    </row>
    <row r="84" spans="11:18">
      <c r="K84" s="17"/>
      <c r="L84" s="17"/>
      <c r="M84" s="17"/>
      <c r="N84" s="18"/>
      <c r="O84" s="17"/>
      <c r="P84" s="17"/>
    </row>
    <row r="86" spans="11:18">
      <c r="M86" s="12"/>
    </row>
    <row r="87" spans="11:18">
      <c r="M87" s="13"/>
      <c r="N87" s="12"/>
      <c r="O87" s="14"/>
      <c r="Q87" s="12"/>
    </row>
    <row r="88" spans="11:18">
      <c r="M88" s="13"/>
      <c r="N88" s="12"/>
      <c r="O88" s="14"/>
      <c r="Q88" s="12"/>
    </row>
    <row r="89" spans="11:18">
      <c r="Q89" s="12"/>
    </row>
    <row r="90" spans="11:18">
      <c r="Q90" s="15"/>
    </row>
    <row r="93" spans="11:18">
      <c r="K93" s="17"/>
      <c r="L93" s="17"/>
      <c r="M93" s="17"/>
      <c r="N93" s="17"/>
      <c r="O93" s="17"/>
      <c r="P93" s="17"/>
    </row>
    <row r="94" spans="11:18">
      <c r="K94" s="17"/>
      <c r="L94" s="17"/>
      <c r="M94" s="17"/>
      <c r="N94" s="18"/>
      <c r="O94" s="18"/>
      <c r="P94" s="17"/>
    </row>
    <row r="95" spans="11:18">
      <c r="K95" s="17"/>
      <c r="L95" s="17"/>
      <c r="M95" s="17"/>
      <c r="N95" s="18"/>
      <c r="O95" s="18"/>
      <c r="P95" s="17"/>
    </row>
    <row r="96" spans="11:18">
      <c r="K96" s="17"/>
      <c r="L96" s="17"/>
      <c r="M96" s="17"/>
      <c r="N96" s="17"/>
      <c r="O96" s="17"/>
      <c r="P96" s="17"/>
    </row>
    <row r="99" spans="14:17">
      <c r="N99" s="12"/>
      <c r="O99" s="14"/>
      <c r="Q99" s="12"/>
    </row>
    <row r="100" spans="14:17">
      <c r="N100" s="12"/>
      <c r="O100" s="14"/>
      <c r="Q100" s="12"/>
    </row>
    <row r="102" spans="14:17">
      <c r="Q102" s="12"/>
    </row>
    <row r="104" spans="14:17">
      <c r="Q104" s="12"/>
    </row>
    <row r="105" spans="14:17">
      <c r="Q105" s="16"/>
    </row>
    <row r="106" spans="14:17">
      <c r="Q106" s="16"/>
    </row>
    <row r="116" spans="13:14">
      <c r="M116" s="9"/>
      <c r="N116" s="27"/>
    </row>
    <row r="117" spans="13:14">
      <c r="M117" s="9"/>
      <c r="N117" s="27"/>
    </row>
    <row r="118" spans="13:14">
      <c r="M118" s="10"/>
    </row>
    <row r="119" spans="13:14">
      <c r="M119" s="9"/>
    </row>
    <row r="120" spans="13:14">
      <c r="M120" s="9"/>
      <c r="N120" s="27"/>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dimension ref="A1:H71"/>
  <sheetViews>
    <sheetView topLeftCell="A43" workbookViewId="0">
      <selection activeCell="C71" sqref="C71"/>
    </sheetView>
  </sheetViews>
  <sheetFormatPr defaultColWidth="9.109375" defaultRowHeight="14.4"/>
  <cols>
    <col min="1" max="16384" width="9.109375" style="581"/>
  </cols>
  <sheetData>
    <row r="1" spans="1:8">
      <c r="A1" s="581" t="s">
        <v>1513</v>
      </c>
    </row>
    <row r="2" spans="1:8">
      <c r="A2" s="581" t="s">
        <v>1514</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1.3514999999999999</v>
      </c>
      <c r="D7" s="581">
        <v>0.34339999999999998</v>
      </c>
      <c r="E7" s="581">
        <v>14.9213</v>
      </c>
      <c r="F7" s="581">
        <v>0.61080000000000001</v>
      </c>
      <c r="G7" s="581">
        <v>1.2882</v>
      </c>
      <c r="H7" s="581">
        <v>1.1742999999999999</v>
      </c>
    </row>
    <row r="8" spans="1:8">
      <c r="A8" s="581">
        <v>2</v>
      </c>
      <c r="B8" s="581" t="s">
        <v>1521</v>
      </c>
      <c r="C8" s="581">
        <v>1.2183999999999999</v>
      </c>
      <c r="D8" s="581">
        <v>0.25890000000000002</v>
      </c>
      <c r="E8" s="581">
        <v>11.2112</v>
      </c>
      <c r="F8" s="581">
        <v>0.79710000000000003</v>
      </c>
      <c r="G8" s="581">
        <v>1.2408999999999999</v>
      </c>
      <c r="H8" s="581">
        <v>1.1368</v>
      </c>
    </row>
    <row r="9" spans="1:8">
      <c r="A9" s="581">
        <v>3</v>
      </c>
      <c r="B9" s="581" t="s">
        <v>1522</v>
      </c>
      <c r="C9" s="581">
        <v>1</v>
      </c>
      <c r="D9" s="581">
        <v>0</v>
      </c>
      <c r="E9" s="581">
        <v>0</v>
      </c>
      <c r="F9" s="581">
        <v>0</v>
      </c>
      <c r="G9" s="581">
        <v>0</v>
      </c>
      <c r="H9" s="581">
        <v>0</v>
      </c>
    </row>
    <row r="10" spans="1:8">
      <c r="A10" s="581">
        <v>4</v>
      </c>
      <c r="B10" s="581" t="s">
        <v>1523</v>
      </c>
      <c r="C10" s="581">
        <v>1.3692</v>
      </c>
      <c r="D10" s="581">
        <v>0.2409</v>
      </c>
      <c r="E10" s="581">
        <v>4.2169999999999996</v>
      </c>
      <c r="F10" s="581">
        <v>0.73229999999999995</v>
      </c>
      <c r="G10" s="581">
        <v>1.5008999999999999</v>
      </c>
      <c r="H10" s="581">
        <v>1.7302999999999999</v>
      </c>
    </row>
    <row r="11" spans="1:8">
      <c r="A11" s="581">
        <v>5</v>
      </c>
      <c r="B11" s="581" t="s">
        <v>1524</v>
      </c>
      <c r="C11" s="581">
        <v>1.4129</v>
      </c>
      <c r="D11" s="581">
        <v>0.1973</v>
      </c>
      <c r="E11" s="581">
        <v>4.1578999999999997</v>
      </c>
      <c r="F11" s="581">
        <v>0.56699999999999995</v>
      </c>
      <c r="G11" s="581">
        <v>1.9877</v>
      </c>
      <c r="H11" s="581">
        <v>1.9984999999999999</v>
      </c>
    </row>
    <row r="12" spans="1:8">
      <c r="A12" s="581">
        <v>6</v>
      </c>
      <c r="B12" s="581" t="s">
        <v>1525</v>
      </c>
      <c r="C12" s="581">
        <v>1.1335999999999999</v>
      </c>
      <c r="D12" s="581">
        <v>0.13120000000000001</v>
      </c>
      <c r="E12" s="581">
        <v>1.7396</v>
      </c>
      <c r="F12" s="581">
        <v>0.65620000000000001</v>
      </c>
      <c r="G12" s="581">
        <v>1.3071999999999999</v>
      </c>
      <c r="H12" s="581">
        <v>1.8573</v>
      </c>
    </row>
    <row r="13" spans="1:8">
      <c r="A13" s="581">
        <v>7</v>
      </c>
      <c r="B13" s="581" t="s">
        <v>1526</v>
      </c>
      <c r="C13" s="581">
        <v>1.4536</v>
      </c>
      <c r="D13" s="581">
        <v>0.36009999999999998</v>
      </c>
      <c r="E13" s="581">
        <v>7.5544000000000002</v>
      </c>
      <c r="F13" s="581">
        <v>0.76719999999999999</v>
      </c>
      <c r="G13" s="581">
        <v>1.3977999999999999</v>
      </c>
      <c r="H13" s="581">
        <v>1.5361</v>
      </c>
    </row>
    <row r="14" spans="1:8">
      <c r="A14" s="581">
        <v>8</v>
      </c>
      <c r="B14" s="581" t="s">
        <v>1527</v>
      </c>
      <c r="C14" s="581">
        <v>1.3580000000000001</v>
      </c>
      <c r="D14" s="581">
        <v>0.20549999999999999</v>
      </c>
      <c r="E14" s="581">
        <v>5.1040999999999999</v>
      </c>
      <c r="F14" s="581">
        <v>0.47449999999999998</v>
      </c>
      <c r="G14" s="581">
        <v>1.599</v>
      </c>
      <c r="H14" s="581">
        <v>1.5578000000000001</v>
      </c>
    </row>
    <row r="15" spans="1:8">
      <c r="A15" s="581">
        <v>9</v>
      </c>
      <c r="B15" s="581" t="s">
        <v>1528</v>
      </c>
      <c r="C15" s="581">
        <v>1.3287</v>
      </c>
      <c r="D15" s="581">
        <v>0.20419999999999999</v>
      </c>
      <c r="E15" s="581">
        <v>4.1406000000000001</v>
      </c>
      <c r="F15" s="581">
        <v>0.56989999999999996</v>
      </c>
      <c r="G15" s="581">
        <v>1.5383</v>
      </c>
      <c r="H15" s="581">
        <v>1.6707000000000001</v>
      </c>
    </row>
    <row r="16" spans="1:8">
      <c r="A16" s="581">
        <v>10</v>
      </c>
      <c r="B16" s="581" t="s">
        <v>1529</v>
      </c>
      <c r="C16" s="581">
        <v>1</v>
      </c>
      <c r="D16" s="581">
        <v>0</v>
      </c>
      <c r="E16" s="581">
        <v>0</v>
      </c>
      <c r="F16" s="581">
        <v>0</v>
      </c>
      <c r="G16" s="581">
        <v>0</v>
      </c>
      <c r="H16" s="581">
        <v>0</v>
      </c>
    </row>
    <row r="17" spans="1:8">
      <c r="A17" s="581">
        <v>11</v>
      </c>
      <c r="B17" s="581" t="s">
        <v>1530</v>
      </c>
      <c r="C17" s="581">
        <v>1.26</v>
      </c>
      <c r="D17" s="581">
        <v>0.1681</v>
      </c>
      <c r="E17" s="581">
        <v>3.4895999999999998</v>
      </c>
      <c r="F17" s="581">
        <v>0.55559999999999998</v>
      </c>
      <c r="G17" s="581">
        <v>1.5136000000000001</v>
      </c>
      <c r="H17" s="581">
        <v>1.6435</v>
      </c>
    </row>
    <row r="18" spans="1:8">
      <c r="A18" s="581">
        <v>12</v>
      </c>
      <c r="B18" s="581" t="s">
        <v>1531</v>
      </c>
      <c r="C18" s="581">
        <v>1.2773000000000001</v>
      </c>
      <c r="D18" s="581">
        <v>0.21190000000000001</v>
      </c>
      <c r="E18" s="581">
        <v>3.7987000000000002</v>
      </c>
      <c r="F18" s="581">
        <v>0.51959999999999995</v>
      </c>
      <c r="G18" s="581">
        <v>1.4259999999999999</v>
      </c>
      <c r="H18" s="581">
        <v>1.6217999999999999</v>
      </c>
    </row>
    <row r="19" spans="1:8">
      <c r="A19" s="581">
        <v>13</v>
      </c>
      <c r="B19" s="581" t="s">
        <v>1532</v>
      </c>
      <c r="C19" s="581">
        <v>1.3303</v>
      </c>
      <c r="D19" s="581">
        <v>0.30059999999999998</v>
      </c>
      <c r="E19" s="581">
        <v>4.609</v>
      </c>
      <c r="F19" s="581">
        <v>0.70099999999999996</v>
      </c>
      <c r="G19" s="581">
        <v>1.3735999999999999</v>
      </c>
      <c r="H19" s="581">
        <v>1.6938</v>
      </c>
    </row>
    <row r="20" spans="1:8">
      <c r="A20" s="581">
        <v>14</v>
      </c>
      <c r="B20" s="581" t="s">
        <v>1533</v>
      </c>
      <c r="C20" s="581">
        <v>1</v>
      </c>
      <c r="D20" s="581">
        <v>0</v>
      </c>
      <c r="E20" s="581">
        <v>0</v>
      </c>
      <c r="F20" s="581">
        <v>0</v>
      </c>
      <c r="G20" s="581">
        <v>0</v>
      </c>
      <c r="H20" s="581">
        <v>0</v>
      </c>
    </row>
    <row r="21" spans="1:8">
      <c r="A21" s="581">
        <v>15</v>
      </c>
      <c r="B21" s="581" t="s">
        <v>1534</v>
      </c>
      <c r="C21" s="581">
        <v>1</v>
      </c>
      <c r="D21" s="581">
        <v>0</v>
      </c>
      <c r="E21" s="581">
        <v>0</v>
      </c>
      <c r="F21" s="581">
        <v>0</v>
      </c>
      <c r="G21" s="581">
        <v>0</v>
      </c>
      <c r="H21" s="581">
        <v>0</v>
      </c>
    </row>
    <row r="22" spans="1:8">
      <c r="A22" s="581">
        <v>16</v>
      </c>
      <c r="B22" s="581" t="s">
        <v>1535</v>
      </c>
      <c r="C22" s="581">
        <v>1.2994000000000001</v>
      </c>
      <c r="D22" s="581">
        <v>0.1779</v>
      </c>
      <c r="E22" s="581">
        <v>3.7185999999999999</v>
      </c>
      <c r="F22" s="581">
        <v>0.52259999999999995</v>
      </c>
      <c r="G22" s="581">
        <v>1.6298999999999999</v>
      </c>
      <c r="H22" s="581">
        <v>1.7971999999999999</v>
      </c>
    </row>
    <row r="23" spans="1:8">
      <c r="A23" s="581">
        <v>17</v>
      </c>
      <c r="B23" s="581" t="s">
        <v>1536</v>
      </c>
      <c r="C23" s="581">
        <v>1.3849</v>
      </c>
      <c r="D23" s="581">
        <v>0.29189999999999999</v>
      </c>
      <c r="E23" s="581">
        <v>6.8967000000000001</v>
      </c>
      <c r="F23" s="581">
        <v>0.63009999999999999</v>
      </c>
      <c r="G23" s="581">
        <v>1.4113</v>
      </c>
      <c r="H23" s="581">
        <v>1.4609000000000001</v>
      </c>
    </row>
    <row r="24" spans="1:8">
      <c r="A24" s="581">
        <v>18</v>
      </c>
      <c r="B24" s="581" t="s">
        <v>1537</v>
      </c>
      <c r="C24" s="581">
        <v>1.2738</v>
      </c>
      <c r="D24" s="581">
        <v>0.2054</v>
      </c>
      <c r="E24" s="581">
        <v>3.7614999999999998</v>
      </c>
      <c r="F24" s="581">
        <v>0.68010000000000004</v>
      </c>
      <c r="G24" s="581">
        <v>1.4148000000000001</v>
      </c>
      <c r="H24" s="581">
        <v>1.6379999999999999</v>
      </c>
    </row>
    <row r="25" spans="1:8">
      <c r="A25" s="581">
        <v>19</v>
      </c>
      <c r="B25" s="581" t="s">
        <v>1538</v>
      </c>
      <c r="C25" s="581">
        <v>1.3357000000000001</v>
      </c>
      <c r="D25" s="581">
        <v>0.18160000000000001</v>
      </c>
      <c r="E25" s="581">
        <v>4.0986000000000002</v>
      </c>
      <c r="F25" s="581">
        <v>0.44390000000000002</v>
      </c>
      <c r="G25" s="581">
        <v>1.7249000000000001</v>
      </c>
      <c r="H25" s="581">
        <v>1.7819</v>
      </c>
    </row>
    <row r="26" spans="1:8">
      <c r="A26" s="581">
        <v>20</v>
      </c>
      <c r="B26" s="581" t="s">
        <v>1539</v>
      </c>
      <c r="C26" s="581">
        <v>1.3048</v>
      </c>
      <c r="D26" s="581">
        <v>0.13489999999999999</v>
      </c>
      <c r="E26" s="581">
        <v>3.0686</v>
      </c>
      <c r="F26" s="581">
        <v>0.45040000000000002</v>
      </c>
      <c r="G26" s="581">
        <v>1.7351000000000001</v>
      </c>
      <c r="H26" s="581">
        <v>1.6501999999999999</v>
      </c>
    </row>
    <row r="27" spans="1:8">
      <c r="A27" s="581">
        <v>21</v>
      </c>
      <c r="B27" s="581" t="s">
        <v>1540</v>
      </c>
      <c r="C27" s="581">
        <v>1.3554999999999999</v>
      </c>
      <c r="D27" s="581">
        <v>0.2039</v>
      </c>
      <c r="E27" s="581">
        <v>5.1243999999999996</v>
      </c>
      <c r="F27" s="581">
        <v>0.625</v>
      </c>
      <c r="G27" s="581">
        <v>1.6251</v>
      </c>
      <c r="H27" s="581">
        <v>1.5250999999999999</v>
      </c>
    </row>
    <row r="28" spans="1:8">
      <c r="A28" s="581">
        <v>22</v>
      </c>
      <c r="B28" s="581" t="s">
        <v>1541</v>
      </c>
      <c r="C28" s="581">
        <v>1</v>
      </c>
      <c r="D28" s="581">
        <v>0</v>
      </c>
      <c r="E28" s="581">
        <v>0</v>
      </c>
      <c r="F28" s="581">
        <v>0</v>
      </c>
      <c r="G28" s="581">
        <v>0</v>
      </c>
      <c r="H28" s="581">
        <v>0</v>
      </c>
    </row>
    <row r="29" spans="1:8">
      <c r="A29" s="581">
        <v>23</v>
      </c>
      <c r="B29" s="581" t="s">
        <v>1542</v>
      </c>
      <c r="C29" s="581">
        <v>1.4319999999999999</v>
      </c>
      <c r="D29" s="581">
        <v>0.3483</v>
      </c>
      <c r="E29" s="581">
        <v>7.4053000000000004</v>
      </c>
      <c r="F29" s="581">
        <v>0.62890000000000001</v>
      </c>
      <c r="G29" s="581">
        <v>1.4007000000000001</v>
      </c>
      <c r="H29" s="581">
        <v>1.5148999999999999</v>
      </c>
    </row>
    <row r="30" spans="1:8">
      <c r="A30" s="581">
        <v>24</v>
      </c>
      <c r="B30" s="581" t="s">
        <v>1543</v>
      </c>
      <c r="C30" s="581">
        <v>1.0732999999999999</v>
      </c>
      <c r="D30" s="581">
        <v>5.8799999999999998E-2</v>
      </c>
      <c r="E30" s="581">
        <v>0.80769999999999997</v>
      </c>
      <c r="F30" s="581">
        <v>0.2472</v>
      </c>
      <c r="G30" s="581">
        <v>1.3381000000000001</v>
      </c>
      <c r="H30" s="581">
        <v>1.7467999999999999</v>
      </c>
    </row>
    <row r="31" spans="1:8">
      <c r="A31" s="581">
        <v>25</v>
      </c>
      <c r="B31" s="581" t="s">
        <v>1544</v>
      </c>
      <c r="C31" s="581">
        <v>1.2375</v>
      </c>
      <c r="D31" s="581">
        <v>0.15670000000000001</v>
      </c>
      <c r="E31" s="581">
        <v>2.1114999999999999</v>
      </c>
      <c r="F31" s="581">
        <v>0.46949999999999997</v>
      </c>
      <c r="G31" s="581">
        <v>1.5226999999999999</v>
      </c>
      <c r="H31" s="581">
        <v>2.1720000000000002</v>
      </c>
    </row>
    <row r="32" spans="1:8">
      <c r="A32" s="581">
        <v>26</v>
      </c>
      <c r="B32" s="581" t="s">
        <v>1545</v>
      </c>
      <c r="C32" s="581">
        <v>1.2575000000000001</v>
      </c>
      <c r="D32" s="581">
        <v>0.1447</v>
      </c>
      <c r="E32" s="581">
        <v>3.0485000000000002</v>
      </c>
      <c r="F32" s="581">
        <v>0.4728</v>
      </c>
      <c r="G32" s="581">
        <v>1.6034999999999999</v>
      </c>
      <c r="H32" s="581">
        <v>1.7111000000000001</v>
      </c>
    </row>
    <row r="33" spans="1:8">
      <c r="A33" s="581">
        <v>27</v>
      </c>
      <c r="B33" s="581" t="s">
        <v>1546</v>
      </c>
      <c r="C33" s="581">
        <v>1.3754999999999999</v>
      </c>
      <c r="D33" s="581">
        <v>0.33850000000000002</v>
      </c>
      <c r="E33" s="581">
        <v>5.5732999999999997</v>
      </c>
      <c r="F33" s="581">
        <v>0.87939999999999996</v>
      </c>
      <c r="G33" s="581">
        <v>1.35</v>
      </c>
      <c r="H33" s="581">
        <v>1.6686000000000001</v>
      </c>
    </row>
    <row r="34" spans="1:8">
      <c r="A34" s="581">
        <v>28</v>
      </c>
      <c r="B34" s="581" t="s">
        <v>1547</v>
      </c>
      <c r="C34" s="581">
        <v>1.3762000000000001</v>
      </c>
      <c r="D34" s="581">
        <v>0.34370000000000001</v>
      </c>
      <c r="E34" s="581">
        <v>11.4504</v>
      </c>
      <c r="F34" s="581">
        <v>0.90449999999999997</v>
      </c>
      <c r="G34" s="581">
        <v>1.306</v>
      </c>
      <c r="H34" s="581">
        <v>1.2367999999999999</v>
      </c>
    </row>
    <row r="35" spans="1:8">
      <c r="A35" s="581">
        <v>29</v>
      </c>
      <c r="B35" s="581" t="s">
        <v>1548</v>
      </c>
      <c r="C35" s="581">
        <v>1.2695000000000001</v>
      </c>
      <c r="D35" s="581">
        <v>0.186</v>
      </c>
      <c r="E35" s="581">
        <v>3.7128999999999999</v>
      </c>
      <c r="F35" s="581">
        <v>0.52010000000000001</v>
      </c>
      <c r="G35" s="581">
        <v>1.4835</v>
      </c>
      <c r="H35" s="581">
        <v>1.7552000000000001</v>
      </c>
    </row>
    <row r="36" spans="1:8">
      <c r="A36" s="581">
        <v>30</v>
      </c>
      <c r="B36" s="581" t="s">
        <v>1549</v>
      </c>
      <c r="C36" s="581">
        <v>1.3896999999999999</v>
      </c>
      <c r="D36" s="581">
        <v>0.1875</v>
      </c>
      <c r="E36" s="581">
        <v>3.3927999999999998</v>
      </c>
      <c r="F36" s="581">
        <v>0.63870000000000005</v>
      </c>
      <c r="G36" s="581">
        <v>2.0404</v>
      </c>
      <c r="H36" s="581">
        <v>2.7191999999999998</v>
      </c>
    </row>
    <row r="37" spans="1:8">
      <c r="A37" s="581">
        <v>31</v>
      </c>
      <c r="B37" s="581" t="s">
        <v>1550</v>
      </c>
      <c r="C37" s="581">
        <v>1</v>
      </c>
      <c r="D37" s="581">
        <v>0</v>
      </c>
      <c r="E37" s="581">
        <v>0</v>
      </c>
      <c r="F37" s="581">
        <v>0</v>
      </c>
      <c r="G37" s="581">
        <v>0</v>
      </c>
      <c r="H37" s="581">
        <v>0</v>
      </c>
    </row>
    <row r="38" spans="1:8">
      <c r="A38" s="581">
        <v>32</v>
      </c>
      <c r="B38" s="581" t="s">
        <v>1551</v>
      </c>
      <c r="C38" s="581">
        <v>1.3374999999999999</v>
      </c>
      <c r="D38" s="581">
        <v>0.2399</v>
      </c>
      <c r="E38" s="581">
        <v>5.3654999999999999</v>
      </c>
      <c r="F38" s="581">
        <v>0.63790000000000002</v>
      </c>
      <c r="G38" s="581">
        <v>1.4774</v>
      </c>
      <c r="H38" s="581">
        <v>1.6056999999999999</v>
      </c>
    </row>
    <row r="39" spans="1:8">
      <c r="A39" s="581">
        <v>33</v>
      </c>
      <c r="B39" s="581" t="s">
        <v>1552</v>
      </c>
      <c r="C39" s="581">
        <v>1.4239999999999999</v>
      </c>
      <c r="D39" s="581">
        <v>0.4924</v>
      </c>
      <c r="E39" s="581">
        <v>18.988499999999998</v>
      </c>
      <c r="F39" s="581">
        <v>0.80210000000000004</v>
      </c>
      <c r="G39" s="581">
        <v>1.2435</v>
      </c>
      <c r="H39" s="581">
        <v>1.1578999999999999</v>
      </c>
    </row>
    <row r="40" spans="1:8">
      <c r="A40" s="581">
        <v>34</v>
      </c>
      <c r="B40" s="581" t="s">
        <v>1553</v>
      </c>
      <c r="C40" s="581">
        <v>1</v>
      </c>
      <c r="D40" s="581">
        <v>0</v>
      </c>
      <c r="E40" s="581">
        <v>0</v>
      </c>
      <c r="F40" s="581">
        <v>0</v>
      </c>
      <c r="G40" s="581">
        <v>0</v>
      </c>
      <c r="H40" s="581">
        <v>0</v>
      </c>
    </row>
    <row r="41" spans="1:8">
      <c r="A41" s="581">
        <v>35</v>
      </c>
      <c r="B41" s="581" t="s">
        <v>1554</v>
      </c>
      <c r="C41" s="581">
        <v>1.3454999999999999</v>
      </c>
      <c r="D41" s="581">
        <v>0.35360000000000003</v>
      </c>
      <c r="E41" s="581">
        <v>7.7449000000000003</v>
      </c>
      <c r="F41" s="581">
        <v>0.89129999999999998</v>
      </c>
      <c r="G41" s="581">
        <v>1.2823</v>
      </c>
      <c r="H41" s="581">
        <v>1.3843000000000001</v>
      </c>
    </row>
    <row r="42" spans="1:8">
      <c r="A42" s="581">
        <v>36</v>
      </c>
      <c r="B42" s="581" t="s">
        <v>1555</v>
      </c>
      <c r="C42" s="581">
        <v>1.3652</v>
      </c>
      <c r="D42" s="581">
        <v>0.33</v>
      </c>
      <c r="E42" s="581">
        <v>7.9326999999999996</v>
      </c>
      <c r="F42" s="581">
        <v>0.92149999999999999</v>
      </c>
      <c r="G42" s="581">
        <v>1.3050999999999999</v>
      </c>
      <c r="H42" s="581">
        <v>1.3695999999999999</v>
      </c>
    </row>
    <row r="43" spans="1:8">
      <c r="A43" s="581">
        <v>37</v>
      </c>
      <c r="B43" s="581" t="s">
        <v>1556</v>
      </c>
      <c r="C43" s="581">
        <v>1.4073</v>
      </c>
      <c r="D43" s="581">
        <v>0.36530000000000001</v>
      </c>
      <c r="E43" s="581">
        <v>6.3487999999999998</v>
      </c>
      <c r="F43" s="581">
        <v>0.68799999999999994</v>
      </c>
      <c r="G43" s="581">
        <v>1.3516999999999999</v>
      </c>
      <c r="H43" s="581">
        <v>1.5999000000000001</v>
      </c>
    </row>
    <row r="44" spans="1:8">
      <c r="A44" s="581">
        <v>38</v>
      </c>
      <c r="B44" s="581" t="s">
        <v>1557</v>
      </c>
      <c r="C44" s="581">
        <v>1.2886</v>
      </c>
      <c r="D44" s="581">
        <v>0.24929999999999999</v>
      </c>
      <c r="E44" s="581">
        <v>7.0526999999999997</v>
      </c>
      <c r="F44" s="581">
        <v>0.77600000000000002</v>
      </c>
      <c r="G44" s="581">
        <v>1.3533999999999999</v>
      </c>
      <c r="H44" s="581">
        <v>1.3210999999999999</v>
      </c>
    </row>
    <row r="45" spans="1:8">
      <c r="A45" s="581">
        <v>39</v>
      </c>
      <c r="B45" s="581" t="s">
        <v>1558</v>
      </c>
      <c r="C45" s="581">
        <v>1.4006000000000001</v>
      </c>
      <c r="D45" s="581">
        <v>0.34860000000000002</v>
      </c>
      <c r="E45" s="581">
        <v>4.3315999999999999</v>
      </c>
      <c r="F45" s="581">
        <v>0.6694</v>
      </c>
      <c r="G45" s="581">
        <v>1.3653</v>
      </c>
      <c r="H45" s="581">
        <v>1.9024000000000001</v>
      </c>
    </row>
    <row r="46" spans="1:8">
      <c r="A46" s="581">
        <v>40</v>
      </c>
      <c r="B46" s="581" t="s">
        <v>1559</v>
      </c>
      <c r="C46" s="581">
        <v>1.2683</v>
      </c>
      <c r="D46" s="581">
        <v>0.15260000000000001</v>
      </c>
      <c r="E46" s="581">
        <v>2.5924999999999998</v>
      </c>
      <c r="F46" s="581">
        <v>0.71250000000000002</v>
      </c>
      <c r="G46" s="581">
        <v>1.6296999999999999</v>
      </c>
      <c r="H46" s="581">
        <v>2.1913</v>
      </c>
    </row>
    <row r="47" spans="1:8">
      <c r="A47" s="581">
        <v>41</v>
      </c>
      <c r="B47" s="581" t="s">
        <v>1560</v>
      </c>
      <c r="C47" s="581">
        <v>1.407</v>
      </c>
      <c r="D47" s="581">
        <v>0.26540000000000002</v>
      </c>
      <c r="E47" s="581">
        <v>4.4859999999999998</v>
      </c>
      <c r="F47" s="581">
        <v>0.7238</v>
      </c>
      <c r="G47" s="581">
        <v>1.5515000000000001</v>
      </c>
      <c r="H47" s="581">
        <v>2.1848999999999998</v>
      </c>
    </row>
    <row r="48" spans="1:8">
      <c r="A48" s="581">
        <v>42</v>
      </c>
      <c r="B48" s="581" t="s">
        <v>1561</v>
      </c>
      <c r="C48" s="581">
        <v>1.4312</v>
      </c>
      <c r="D48" s="581">
        <v>0.25030000000000002</v>
      </c>
      <c r="E48" s="581">
        <v>4.7971000000000004</v>
      </c>
      <c r="F48" s="581">
        <v>0.75139999999999996</v>
      </c>
      <c r="G48" s="581">
        <v>1.6963999999999999</v>
      </c>
      <c r="H48" s="581">
        <v>2.1335000000000002</v>
      </c>
    </row>
    <row r="49" spans="1:8">
      <c r="A49" s="581">
        <v>43</v>
      </c>
      <c r="B49" s="581" t="s">
        <v>1562</v>
      </c>
      <c r="C49" s="581">
        <v>1.5365</v>
      </c>
      <c r="D49" s="581">
        <v>0.5272</v>
      </c>
      <c r="E49" s="581">
        <v>8.6984999999999992</v>
      </c>
      <c r="F49" s="581">
        <v>0.85940000000000005</v>
      </c>
      <c r="G49" s="581">
        <v>1.3038000000000001</v>
      </c>
      <c r="H49" s="581">
        <v>1.5719000000000001</v>
      </c>
    </row>
    <row r="50" spans="1:8">
      <c r="A50" s="581">
        <v>44</v>
      </c>
      <c r="B50" s="581" t="s">
        <v>1563</v>
      </c>
      <c r="C50" s="581">
        <v>1.4564999999999999</v>
      </c>
      <c r="D50" s="581">
        <v>0.38679999999999998</v>
      </c>
      <c r="E50" s="581">
        <v>6.1878000000000002</v>
      </c>
      <c r="F50" s="581">
        <v>0.95450000000000002</v>
      </c>
      <c r="G50" s="581">
        <v>1.4024000000000001</v>
      </c>
      <c r="H50" s="581">
        <v>1.6960999999999999</v>
      </c>
    </row>
    <row r="51" spans="1:8">
      <c r="A51" s="581">
        <v>45</v>
      </c>
      <c r="B51" s="581" t="s">
        <v>1564</v>
      </c>
      <c r="C51" s="581">
        <v>1.3439000000000001</v>
      </c>
      <c r="D51" s="581">
        <v>0.246</v>
      </c>
      <c r="E51" s="581">
        <v>3.5022000000000002</v>
      </c>
      <c r="F51" s="581">
        <v>0.64629999999999999</v>
      </c>
      <c r="G51" s="581">
        <v>1.5450999999999999</v>
      </c>
      <c r="H51" s="581">
        <v>2.1764000000000001</v>
      </c>
    </row>
    <row r="52" spans="1:8">
      <c r="A52" s="581">
        <v>46</v>
      </c>
      <c r="B52" s="581" t="s">
        <v>1565</v>
      </c>
      <c r="C52" s="581">
        <v>1.2205999999999999</v>
      </c>
      <c r="D52" s="581">
        <v>7.6999999999999999E-2</v>
      </c>
      <c r="E52" s="581">
        <v>4.1984000000000004</v>
      </c>
      <c r="F52" s="581">
        <v>0.82540000000000002</v>
      </c>
      <c r="G52" s="581">
        <v>2.2073999999999998</v>
      </c>
      <c r="H52" s="581">
        <v>1.3573999999999999</v>
      </c>
    </row>
    <row r="53" spans="1:8">
      <c r="A53" s="581">
        <v>47</v>
      </c>
      <c r="B53" s="581" t="s">
        <v>1566</v>
      </c>
      <c r="C53" s="581">
        <v>1.4890000000000001</v>
      </c>
      <c r="D53" s="581">
        <v>0.33710000000000001</v>
      </c>
      <c r="E53" s="581">
        <v>6.1195000000000004</v>
      </c>
      <c r="F53" s="581">
        <v>0.94299999999999995</v>
      </c>
      <c r="G53" s="581">
        <v>1.5115000000000001</v>
      </c>
      <c r="H53" s="581">
        <v>1.8131999999999999</v>
      </c>
    </row>
    <row r="54" spans="1:8">
      <c r="A54" s="581">
        <v>48</v>
      </c>
      <c r="B54" s="581" t="s">
        <v>1567</v>
      </c>
      <c r="C54" s="581">
        <v>1.4653</v>
      </c>
      <c r="D54" s="581">
        <v>0.47510000000000002</v>
      </c>
      <c r="E54" s="581">
        <v>8.2104999999999997</v>
      </c>
      <c r="F54" s="581">
        <v>0.96099999999999997</v>
      </c>
      <c r="G54" s="581">
        <v>1.2888999999999999</v>
      </c>
      <c r="H54" s="581">
        <v>1.5593999999999999</v>
      </c>
    </row>
    <row r="55" spans="1:8">
      <c r="A55" s="581">
        <v>49</v>
      </c>
      <c r="B55" s="581" t="s">
        <v>1568</v>
      </c>
      <c r="C55" s="581">
        <v>1.4795</v>
      </c>
      <c r="D55" s="581">
        <v>0.49740000000000001</v>
      </c>
      <c r="E55" s="581">
        <v>6.1074000000000002</v>
      </c>
      <c r="F55" s="581">
        <v>0.94389999999999996</v>
      </c>
      <c r="G55" s="581">
        <v>1.2934000000000001</v>
      </c>
      <c r="H55" s="581">
        <v>1.9180999999999999</v>
      </c>
    </row>
    <row r="56" spans="1:8">
      <c r="A56" s="581">
        <v>50</v>
      </c>
      <c r="B56" s="581" t="s">
        <v>1569</v>
      </c>
      <c r="C56" s="581">
        <v>1.4410000000000001</v>
      </c>
      <c r="D56" s="581">
        <v>0.43020000000000003</v>
      </c>
      <c r="E56" s="581">
        <v>15.1846</v>
      </c>
      <c r="F56" s="581">
        <v>0.90900000000000003</v>
      </c>
      <c r="G56" s="581">
        <v>1.3092999999999999</v>
      </c>
      <c r="H56" s="581">
        <v>1.2259</v>
      </c>
    </row>
    <row r="57" spans="1:8">
      <c r="A57" s="581">
        <v>51</v>
      </c>
      <c r="B57" s="581" t="s">
        <v>1570</v>
      </c>
      <c r="C57" s="581">
        <v>1.4326000000000001</v>
      </c>
      <c r="D57" s="581">
        <v>0.317</v>
      </c>
      <c r="E57" s="581">
        <v>6.2308000000000003</v>
      </c>
      <c r="F57" s="581">
        <v>0.77590000000000003</v>
      </c>
      <c r="G57" s="581">
        <v>1.462</v>
      </c>
      <c r="H57" s="581">
        <v>1.6777</v>
      </c>
    </row>
    <row r="58" spans="1:8">
      <c r="A58" s="581">
        <v>52</v>
      </c>
      <c r="B58" s="581" t="s">
        <v>1571</v>
      </c>
      <c r="C58" s="581">
        <v>1.4653</v>
      </c>
      <c r="D58" s="581">
        <v>0.435</v>
      </c>
      <c r="E58" s="581">
        <v>14.4932</v>
      </c>
      <c r="F58" s="581">
        <v>0.93440000000000001</v>
      </c>
      <c r="G58" s="581">
        <v>1.2764</v>
      </c>
      <c r="H58" s="581">
        <v>1.2232000000000001</v>
      </c>
    </row>
    <row r="59" spans="1:8">
      <c r="A59" s="581">
        <v>53</v>
      </c>
      <c r="B59" s="581" t="s">
        <v>1572</v>
      </c>
      <c r="C59" s="581">
        <v>1.5054000000000001</v>
      </c>
      <c r="D59" s="581">
        <v>0.499</v>
      </c>
      <c r="E59" s="581">
        <v>9.6437000000000008</v>
      </c>
      <c r="F59" s="581">
        <v>0.9446</v>
      </c>
      <c r="G59" s="581">
        <v>1.3053999999999999</v>
      </c>
      <c r="H59" s="581">
        <v>1.4822</v>
      </c>
    </row>
    <row r="60" spans="1:8">
      <c r="A60" s="581">
        <v>54</v>
      </c>
      <c r="B60" s="581" t="s">
        <v>1573</v>
      </c>
      <c r="C60" s="581">
        <v>1.5002</v>
      </c>
      <c r="D60" s="581">
        <v>0.40970000000000001</v>
      </c>
      <c r="E60" s="581">
        <v>8.3971</v>
      </c>
      <c r="F60" s="581">
        <v>0.84609999999999996</v>
      </c>
      <c r="G60" s="581">
        <v>1.3398000000000001</v>
      </c>
      <c r="H60" s="581">
        <v>1.5123</v>
      </c>
    </row>
    <row r="61" spans="1:8">
      <c r="A61" s="581">
        <v>55</v>
      </c>
      <c r="B61" s="581" t="s">
        <v>1574</v>
      </c>
      <c r="C61" s="581">
        <v>1.4488000000000001</v>
      </c>
      <c r="D61" s="581">
        <v>0.4607</v>
      </c>
      <c r="E61" s="581">
        <v>13.9589</v>
      </c>
      <c r="F61" s="581">
        <v>0.94869999999999999</v>
      </c>
      <c r="G61" s="581">
        <v>1.2649999999999999</v>
      </c>
      <c r="H61" s="581">
        <v>1.2436</v>
      </c>
    </row>
    <row r="62" spans="1:8">
      <c r="A62" s="581">
        <v>56</v>
      </c>
      <c r="B62" s="581" t="s">
        <v>1575</v>
      </c>
      <c r="C62" s="581">
        <v>1.4401999999999999</v>
      </c>
      <c r="D62" s="581">
        <v>0.41739999999999999</v>
      </c>
      <c r="E62" s="581">
        <v>17.372</v>
      </c>
      <c r="F62" s="581">
        <v>0.9093</v>
      </c>
      <c r="G62" s="581">
        <v>1.2958000000000001</v>
      </c>
      <c r="H62" s="581">
        <v>1.1819999999999999</v>
      </c>
    </row>
    <row r="63" spans="1:8">
      <c r="A63" s="581">
        <v>57</v>
      </c>
      <c r="B63" s="581" t="s">
        <v>1576</v>
      </c>
      <c r="C63" s="581">
        <v>1.4634</v>
      </c>
      <c r="D63" s="581">
        <v>0.39529999999999998</v>
      </c>
      <c r="E63" s="581">
        <v>13.3918</v>
      </c>
      <c r="F63" s="581">
        <v>0.89229999999999998</v>
      </c>
      <c r="G63" s="581">
        <v>1.3403</v>
      </c>
      <c r="H63" s="581">
        <v>1.2592000000000001</v>
      </c>
    </row>
    <row r="64" spans="1:8">
      <c r="A64" s="581">
        <v>58</v>
      </c>
      <c r="B64" s="581" t="s">
        <v>1577</v>
      </c>
      <c r="C64" s="581">
        <v>1.4018999999999999</v>
      </c>
      <c r="D64" s="581">
        <v>0.36530000000000001</v>
      </c>
      <c r="E64" s="581">
        <v>16.9998</v>
      </c>
      <c r="F64" s="581">
        <v>0.90049999999999997</v>
      </c>
      <c r="G64" s="581">
        <v>1.3071999999999999</v>
      </c>
      <c r="H64" s="581">
        <v>1.1583000000000001</v>
      </c>
    </row>
    <row r="65" spans="1:8">
      <c r="A65" s="581">
        <v>59</v>
      </c>
      <c r="B65" s="581" t="s">
        <v>1578</v>
      </c>
      <c r="C65" s="581">
        <v>1.4635</v>
      </c>
      <c r="D65" s="581">
        <v>0.33040000000000003</v>
      </c>
      <c r="E65" s="581">
        <v>8.7611000000000008</v>
      </c>
      <c r="F65" s="581">
        <v>0.82920000000000005</v>
      </c>
      <c r="G65" s="581">
        <v>1.4869000000000001</v>
      </c>
      <c r="H65" s="581">
        <v>1.4559</v>
      </c>
    </row>
    <row r="66" spans="1:8">
      <c r="A66" s="581">
        <v>60</v>
      </c>
      <c r="B66" s="581" t="s">
        <v>1579</v>
      </c>
      <c r="C66" s="581">
        <v>1.4055</v>
      </c>
      <c r="D66" s="581">
        <v>0.34749999999999998</v>
      </c>
      <c r="E66" s="581">
        <v>16.3629</v>
      </c>
      <c r="F66" s="581">
        <v>0.78620000000000001</v>
      </c>
      <c r="G66" s="581">
        <v>1.3323</v>
      </c>
      <c r="H66" s="581">
        <v>1.1621999999999999</v>
      </c>
    </row>
    <row r="67" spans="1:8">
      <c r="A67" s="581">
        <v>61</v>
      </c>
      <c r="B67" s="581" t="s">
        <v>1580</v>
      </c>
      <c r="C67" s="581">
        <v>1.5152000000000001</v>
      </c>
      <c r="D67" s="581">
        <v>0.3715</v>
      </c>
      <c r="E67" s="581">
        <v>9.4525000000000006</v>
      </c>
      <c r="F67" s="581">
        <v>0.86760000000000004</v>
      </c>
      <c r="G67" s="581">
        <v>1.4475</v>
      </c>
      <c r="H67" s="581">
        <v>1.4523999999999999</v>
      </c>
    </row>
    <row r="68" spans="1:8">
      <c r="A68" s="581">
        <v>62</v>
      </c>
      <c r="B68" s="581" t="s">
        <v>1581</v>
      </c>
      <c r="C68" s="581">
        <v>0.72829999999999995</v>
      </c>
      <c r="D68" s="581">
        <v>0.16339999999999999</v>
      </c>
      <c r="E68" s="581">
        <v>4.8003999999999998</v>
      </c>
      <c r="F68" s="581">
        <v>0.4501</v>
      </c>
      <c r="G68" s="581">
        <v>0</v>
      </c>
      <c r="H68" s="581">
        <v>0</v>
      </c>
    </row>
    <row r="70" spans="1:8">
      <c r="C70" s="581">
        <f>SUM(C6:C68)</f>
        <v>81.736599999999996</v>
      </c>
      <c r="D70" s="581">
        <f t="shared" ref="D70:H70" si="0">SUM(D6:D68)</f>
        <v>16.118300000000001</v>
      </c>
      <c r="E70" s="581">
        <f t="shared" si="0"/>
        <v>396.82760000000002</v>
      </c>
      <c r="F70" s="581">
        <f t="shared" si="0"/>
        <v>39.765700000000002</v>
      </c>
      <c r="G70" s="581">
        <f t="shared" si="0"/>
        <v>78.735900000000001</v>
      </c>
      <c r="H70" s="581">
        <f t="shared" si="0"/>
        <v>86.976799999999983</v>
      </c>
    </row>
    <row r="71" spans="1:8">
      <c r="C71" s="581">
        <f>C70-SUM(atlantic!B1:B63)</f>
        <v>0.38179999999999836</v>
      </c>
      <c r="D71" s="581">
        <f>D70-SUM(atlantic!C1:C63)</f>
        <v>-0.43129999999999669</v>
      </c>
      <c r="E71" s="581">
        <f>E70-SUM(atlantic!D1:D63)</f>
        <v>-22.853199999999902</v>
      </c>
      <c r="F71" s="581">
        <f>F70-SUM(atlantic!E1:E63)</f>
        <v>-1.5046999999999997</v>
      </c>
      <c r="G71" s="581">
        <f>G70-SUM(atlantic!F1:F63)</f>
        <v>1.8895000000000124</v>
      </c>
      <c r="H71" s="581">
        <f>H70-SUM(atlantic!G1:G63)</f>
        <v>2.7361999999999824</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H71"/>
  <sheetViews>
    <sheetView topLeftCell="A43" workbookViewId="0">
      <selection activeCell="C71" sqref="C71"/>
    </sheetView>
  </sheetViews>
  <sheetFormatPr defaultColWidth="9.109375" defaultRowHeight="14.4"/>
  <cols>
    <col min="1" max="16384" width="9.109375" style="581"/>
  </cols>
  <sheetData>
    <row r="1" spans="1:8">
      <c r="A1" s="581" t="s">
        <v>1513</v>
      </c>
    </row>
    <row r="2" spans="1:8">
      <c r="A2" s="581" t="s">
        <v>1585</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1.4999</v>
      </c>
      <c r="D7" s="581">
        <v>0.4446</v>
      </c>
      <c r="E7" s="581">
        <v>19.273299999999999</v>
      </c>
      <c r="F7" s="581">
        <v>0.68720000000000003</v>
      </c>
      <c r="G7" s="581">
        <v>1.3795999999999999</v>
      </c>
      <c r="H7" s="581">
        <v>1.2548999999999999</v>
      </c>
    </row>
    <row r="8" spans="1:8">
      <c r="A8" s="581">
        <v>2</v>
      </c>
      <c r="B8" s="581" t="s">
        <v>1521</v>
      </c>
      <c r="C8" s="581">
        <v>1.5278</v>
      </c>
      <c r="D8" s="581">
        <v>0.67200000000000004</v>
      </c>
      <c r="E8" s="581">
        <v>29.521599999999999</v>
      </c>
      <c r="F8" s="581">
        <v>0.96840000000000004</v>
      </c>
      <c r="G8" s="581">
        <v>1.1936</v>
      </c>
      <c r="H8" s="581">
        <v>1.1092</v>
      </c>
    </row>
    <row r="9" spans="1:8">
      <c r="A9" s="581">
        <v>3</v>
      </c>
      <c r="B9" s="581" t="s">
        <v>1522</v>
      </c>
      <c r="C9" s="581">
        <v>1</v>
      </c>
      <c r="D9" s="581">
        <v>0</v>
      </c>
      <c r="E9" s="581">
        <v>0</v>
      </c>
      <c r="F9" s="581">
        <v>0</v>
      </c>
      <c r="G9" s="581">
        <v>0</v>
      </c>
      <c r="H9" s="581">
        <v>0</v>
      </c>
    </row>
    <row r="10" spans="1:8">
      <c r="A10" s="581">
        <v>4</v>
      </c>
      <c r="B10" s="581" t="s">
        <v>1523</v>
      </c>
      <c r="C10" s="581">
        <v>1.4550000000000001</v>
      </c>
      <c r="D10" s="581">
        <v>0.3574</v>
      </c>
      <c r="E10" s="581">
        <v>6.1024000000000003</v>
      </c>
      <c r="F10" s="581">
        <v>0.77510000000000001</v>
      </c>
      <c r="G10" s="581">
        <v>1.3427</v>
      </c>
      <c r="H10" s="581">
        <v>1.5098</v>
      </c>
    </row>
    <row r="11" spans="1:8">
      <c r="A11" s="581">
        <v>5</v>
      </c>
      <c r="B11" s="581" t="s">
        <v>1524</v>
      </c>
      <c r="C11" s="581">
        <v>1</v>
      </c>
      <c r="D11" s="581">
        <v>0</v>
      </c>
      <c r="E11" s="581">
        <v>0</v>
      </c>
      <c r="F11" s="581">
        <v>0</v>
      </c>
      <c r="G11" s="581">
        <v>0</v>
      </c>
      <c r="H11" s="581">
        <v>0</v>
      </c>
    </row>
    <row r="12" spans="1:8">
      <c r="A12" s="581">
        <v>6</v>
      </c>
      <c r="B12" s="581" t="s">
        <v>1525</v>
      </c>
      <c r="C12" s="581">
        <v>1.1194</v>
      </c>
      <c r="D12" s="581">
        <v>0.11360000000000001</v>
      </c>
      <c r="E12" s="581">
        <v>1.4733000000000001</v>
      </c>
      <c r="F12" s="581">
        <v>0.64539999999999997</v>
      </c>
      <c r="G12" s="581">
        <v>1.2909999999999999</v>
      </c>
      <c r="H12" s="581">
        <v>1.7946</v>
      </c>
    </row>
    <row r="13" spans="1:8">
      <c r="A13" s="581">
        <v>7</v>
      </c>
      <c r="B13" s="581" t="s">
        <v>1526</v>
      </c>
      <c r="C13" s="581">
        <v>1.4303999999999999</v>
      </c>
      <c r="D13" s="581">
        <v>0.31080000000000002</v>
      </c>
      <c r="E13" s="581">
        <v>6.4702999999999999</v>
      </c>
      <c r="F13" s="581">
        <v>0.74470000000000003</v>
      </c>
      <c r="G13" s="581">
        <v>1.4252</v>
      </c>
      <c r="H13" s="581">
        <v>1.5544</v>
      </c>
    </row>
    <row r="14" spans="1:8">
      <c r="A14" s="581">
        <v>8</v>
      </c>
      <c r="B14" s="581" t="s">
        <v>1527</v>
      </c>
      <c r="C14" s="581">
        <v>1.4417</v>
      </c>
      <c r="D14" s="581">
        <v>0.3085</v>
      </c>
      <c r="E14" s="581">
        <v>7.6528</v>
      </c>
      <c r="F14" s="581">
        <v>0.52280000000000004</v>
      </c>
      <c r="G14" s="581">
        <v>1.4433</v>
      </c>
      <c r="H14" s="581">
        <v>1.4037999999999999</v>
      </c>
    </row>
    <row r="15" spans="1:8">
      <c r="A15" s="581">
        <v>9</v>
      </c>
      <c r="B15" s="581" t="s">
        <v>1528</v>
      </c>
      <c r="C15" s="581">
        <v>1.4645999999999999</v>
      </c>
      <c r="D15" s="581">
        <v>0.30259999999999998</v>
      </c>
      <c r="E15" s="581">
        <v>5.9835000000000003</v>
      </c>
      <c r="F15" s="581">
        <v>0.6401</v>
      </c>
      <c r="G15" s="581">
        <v>1.4481999999999999</v>
      </c>
      <c r="H15" s="581">
        <v>1.5337000000000001</v>
      </c>
    </row>
    <row r="16" spans="1:8">
      <c r="A16" s="581">
        <v>10</v>
      </c>
      <c r="B16" s="581" t="s">
        <v>1529</v>
      </c>
      <c r="C16" s="581">
        <v>1.3574999999999999</v>
      </c>
      <c r="D16" s="581">
        <v>0.1804</v>
      </c>
      <c r="E16" s="581">
        <v>3.3256000000000001</v>
      </c>
      <c r="F16" s="581">
        <v>0.44009999999999999</v>
      </c>
      <c r="G16" s="581">
        <v>1.6269</v>
      </c>
      <c r="H16" s="581">
        <v>1.8281000000000001</v>
      </c>
    </row>
    <row r="17" spans="1:8">
      <c r="A17" s="581">
        <v>11</v>
      </c>
      <c r="B17" s="581" t="s">
        <v>1530</v>
      </c>
      <c r="C17" s="581">
        <v>1.3726</v>
      </c>
      <c r="D17" s="581">
        <v>0.2387</v>
      </c>
      <c r="E17" s="581">
        <v>4.8383000000000003</v>
      </c>
      <c r="F17" s="581">
        <v>0.60260000000000002</v>
      </c>
      <c r="G17" s="581">
        <v>1.4527000000000001</v>
      </c>
      <c r="H17" s="581">
        <v>1.5404</v>
      </c>
    </row>
    <row r="18" spans="1:8">
      <c r="A18" s="581">
        <v>12</v>
      </c>
      <c r="B18" s="581" t="s">
        <v>1531</v>
      </c>
      <c r="C18" s="581">
        <v>1.3737999999999999</v>
      </c>
      <c r="D18" s="581">
        <v>0.28050000000000003</v>
      </c>
      <c r="E18" s="581">
        <v>4.9480000000000004</v>
      </c>
      <c r="F18" s="581">
        <v>0.56489999999999996</v>
      </c>
      <c r="G18" s="581">
        <v>1.3734999999999999</v>
      </c>
      <c r="H18" s="581">
        <v>1.5371999999999999</v>
      </c>
    </row>
    <row r="19" spans="1:8">
      <c r="A19" s="581">
        <v>13</v>
      </c>
      <c r="B19" s="581" t="s">
        <v>1532</v>
      </c>
      <c r="C19" s="581">
        <v>1.2030000000000001</v>
      </c>
      <c r="D19" s="581">
        <v>0.11310000000000001</v>
      </c>
      <c r="E19" s="581">
        <v>1.7158</v>
      </c>
      <c r="F19" s="581">
        <v>0.61760000000000004</v>
      </c>
      <c r="G19" s="581">
        <v>1.5932999999999999</v>
      </c>
      <c r="H19" s="581">
        <v>1.9437</v>
      </c>
    </row>
    <row r="20" spans="1:8">
      <c r="A20" s="581">
        <v>14</v>
      </c>
      <c r="B20" s="581" t="s">
        <v>1533</v>
      </c>
      <c r="C20" s="581">
        <v>1.2992999999999999</v>
      </c>
      <c r="D20" s="581">
        <v>0.22939999999999999</v>
      </c>
      <c r="E20" s="581">
        <v>4.3554000000000004</v>
      </c>
      <c r="F20" s="581">
        <v>0.59870000000000001</v>
      </c>
      <c r="G20" s="581">
        <v>1.3653</v>
      </c>
      <c r="H20" s="581">
        <v>1.4569000000000001</v>
      </c>
    </row>
    <row r="21" spans="1:8">
      <c r="A21" s="581">
        <v>15</v>
      </c>
      <c r="B21" s="581" t="s">
        <v>1534</v>
      </c>
      <c r="C21" s="581">
        <v>1.3669</v>
      </c>
      <c r="D21" s="581">
        <v>0.30299999999999999</v>
      </c>
      <c r="E21" s="581">
        <v>5.5254000000000003</v>
      </c>
      <c r="F21" s="581">
        <v>0.42549999999999999</v>
      </c>
      <c r="G21" s="581">
        <v>1.3420000000000001</v>
      </c>
      <c r="H21" s="581">
        <v>1.4592000000000001</v>
      </c>
    </row>
    <row r="22" spans="1:8">
      <c r="A22" s="581">
        <v>16</v>
      </c>
      <c r="B22" s="581" t="s">
        <v>1535</v>
      </c>
      <c r="C22" s="581">
        <v>1.3827</v>
      </c>
      <c r="D22" s="581">
        <v>0.22819999999999999</v>
      </c>
      <c r="E22" s="581">
        <v>4.7085999999999997</v>
      </c>
      <c r="F22" s="581">
        <v>0.56610000000000005</v>
      </c>
      <c r="G22" s="581">
        <v>1.5445</v>
      </c>
      <c r="H22" s="581">
        <v>1.681</v>
      </c>
    </row>
    <row r="23" spans="1:8">
      <c r="A23" s="581">
        <v>17</v>
      </c>
      <c r="B23" s="581" t="s">
        <v>1536</v>
      </c>
      <c r="C23" s="581">
        <v>1.4089</v>
      </c>
      <c r="D23" s="581">
        <v>0.31709999999999999</v>
      </c>
      <c r="E23" s="581">
        <v>7.3289</v>
      </c>
      <c r="F23" s="581">
        <v>0.63260000000000005</v>
      </c>
      <c r="G23" s="581">
        <v>1.3678999999999999</v>
      </c>
      <c r="H23" s="581">
        <v>1.3854</v>
      </c>
    </row>
    <row r="24" spans="1:8">
      <c r="A24" s="581">
        <v>18</v>
      </c>
      <c r="B24" s="581" t="s">
        <v>1537</v>
      </c>
      <c r="C24" s="581">
        <v>1.3854</v>
      </c>
      <c r="D24" s="581">
        <v>0.2298</v>
      </c>
      <c r="E24" s="581">
        <v>4.1401000000000003</v>
      </c>
      <c r="F24" s="581">
        <v>0.73119999999999996</v>
      </c>
      <c r="G24" s="581">
        <v>1.4818</v>
      </c>
      <c r="H24" s="581">
        <v>1.6879</v>
      </c>
    </row>
    <row r="25" spans="1:8">
      <c r="A25" s="581">
        <v>19</v>
      </c>
      <c r="B25" s="581" t="s">
        <v>1538</v>
      </c>
      <c r="C25" s="581">
        <v>1.6077999999999999</v>
      </c>
      <c r="D25" s="581">
        <v>0.20949999999999999</v>
      </c>
      <c r="E25" s="581">
        <v>5.1878000000000002</v>
      </c>
      <c r="F25" s="581">
        <v>0.54290000000000005</v>
      </c>
      <c r="G25" s="581">
        <v>2.3311999999999999</v>
      </c>
      <c r="H25" s="581">
        <v>2.6427999999999998</v>
      </c>
    </row>
    <row r="26" spans="1:8">
      <c r="A26" s="581">
        <v>20</v>
      </c>
      <c r="B26" s="581" t="s">
        <v>1539</v>
      </c>
      <c r="C26" s="581">
        <v>1.3556999999999999</v>
      </c>
      <c r="D26" s="581">
        <v>0.23519999999999999</v>
      </c>
      <c r="E26" s="581">
        <v>5.5475000000000003</v>
      </c>
      <c r="F26" s="581">
        <v>0.48780000000000001</v>
      </c>
      <c r="G26" s="581">
        <v>1.4345000000000001</v>
      </c>
      <c r="H26" s="581">
        <v>1.4145000000000001</v>
      </c>
    </row>
    <row r="27" spans="1:8">
      <c r="A27" s="581">
        <v>21</v>
      </c>
      <c r="B27" s="581" t="s">
        <v>1540</v>
      </c>
      <c r="C27" s="581">
        <v>1.4719</v>
      </c>
      <c r="D27" s="581">
        <v>0.3831</v>
      </c>
      <c r="E27" s="581">
        <v>10.041700000000001</v>
      </c>
      <c r="F27" s="581">
        <v>0.67800000000000005</v>
      </c>
      <c r="G27" s="581">
        <v>1.3535999999999999</v>
      </c>
      <c r="H27" s="581">
        <v>1.3250999999999999</v>
      </c>
    </row>
    <row r="28" spans="1:8">
      <c r="A28" s="581">
        <v>22</v>
      </c>
      <c r="B28" s="581" t="s">
        <v>1541</v>
      </c>
      <c r="C28" s="581">
        <v>1.3496999999999999</v>
      </c>
      <c r="D28" s="581">
        <v>0.2576</v>
      </c>
      <c r="E28" s="581">
        <v>4.5678999999999998</v>
      </c>
      <c r="F28" s="581">
        <v>0.55810000000000004</v>
      </c>
      <c r="G28" s="581">
        <v>1.3929</v>
      </c>
      <c r="H28" s="581">
        <v>1.5689</v>
      </c>
    </row>
    <row r="29" spans="1:8">
      <c r="A29" s="581">
        <v>23</v>
      </c>
      <c r="B29" s="581" t="s">
        <v>1542</v>
      </c>
      <c r="C29" s="581">
        <v>1.3905000000000001</v>
      </c>
      <c r="D29" s="581">
        <v>0.26590000000000003</v>
      </c>
      <c r="E29" s="581">
        <v>5.5339999999999998</v>
      </c>
      <c r="F29" s="581">
        <v>0.59409999999999996</v>
      </c>
      <c r="G29" s="581">
        <v>1.4440999999999999</v>
      </c>
      <c r="H29" s="581">
        <v>1.5286999999999999</v>
      </c>
    </row>
    <row r="30" spans="1:8">
      <c r="A30" s="581">
        <v>24</v>
      </c>
      <c r="B30" s="581" t="s">
        <v>1543</v>
      </c>
      <c r="C30" s="581">
        <v>1</v>
      </c>
      <c r="D30" s="581">
        <v>0</v>
      </c>
      <c r="E30" s="581">
        <v>0</v>
      </c>
      <c r="F30" s="581">
        <v>0</v>
      </c>
      <c r="G30" s="581">
        <v>0</v>
      </c>
      <c r="H30" s="581">
        <v>0</v>
      </c>
    </row>
    <row r="31" spans="1:8">
      <c r="A31" s="581">
        <v>25</v>
      </c>
      <c r="B31" s="581" t="s">
        <v>1544</v>
      </c>
      <c r="C31" s="581">
        <v>1.4819</v>
      </c>
      <c r="D31" s="581">
        <v>0.1744</v>
      </c>
      <c r="E31" s="581">
        <v>2.4605999999999999</v>
      </c>
      <c r="F31" s="581">
        <v>0.58209999999999995</v>
      </c>
      <c r="G31" s="581">
        <v>1.8266</v>
      </c>
      <c r="H31" s="581">
        <v>2.7271000000000001</v>
      </c>
    </row>
    <row r="32" spans="1:8">
      <c r="A32" s="581">
        <v>26</v>
      </c>
      <c r="B32" s="581" t="s">
        <v>1545</v>
      </c>
      <c r="C32" s="581">
        <v>1.2433000000000001</v>
      </c>
      <c r="D32" s="581">
        <v>0.13669999999999999</v>
      </c>
      <c r="E32" s="581">
        <v>2.8069000000000002</v>
      </c>
      <c r="F32" s="581">
        <v>0.46100000000000002</v>
      </c>
      <c r="G32" s="581">
        <v>1.5410999999999999</v>
      </c>
      <c r="H32" s="581">
        <v>1.6027</v>
      </c>
    </row>
    <row r="33" spans="1:8">
      <c r="A33" s="581">
        <v>27</v>
      </c>
      <c r="B33" s="581" t="s">
        <v>1546</v>
      </c>
      <c r="C33" s="581">
        <v>1.3555999999999999</v>
      </c>
      <c r="D33" s="581">
        <v>0.313</v>
      </c>
      <c r="E33" s="581">
        <v>5.0114999999999998</v>
      </c>
      <c r="F33" s="581">
        <v>0.86180000000000001</v>
      </c>
      <c r="G33" s="581">
        <v>1.3157000000000001</v>
      </c>
      <c r="H33" s="581">
        <v>1.5811999999999999</v>
      </c>
    </row>
    <row r="34" spans="1:8">
      <c r="A34" s="581">
        <v>28</v>
      </c>
      <c r="B34" s="581" t="s">
        <v>1547</v>
      </c>
      <c r="C34" s="581">
        <v>1.3586</v>
      </c>
      <c r="D34" s="581">
        <v>0.32929999999999998</v>
      </c>
      <c r="E34" s="581">
        <v>10.920400000000001</v>
      </c>
      <c r="F34" s="581">
        <v>0.88570000000000004</v>
      </c>
      <c r="G34" s="581">
        <v>1.2802</v>
      </c>
      <c r="H34" s="581">
        <v>1.2067000000000001</v>
      </c>
    </row>
    <row r="35" spans="1:8">
      <c r="A35" s="581">
        <v>29</v>
      </c>
      <c r="B35" s="581" t="s">
        <v>1548</v>
      </c>
      <c r="C35" s="581">
        <v>1</v>
      </c>
      <c r="D35" s="581">
        <v>0</v>
      </c>
      <c r="E35" s="581">
        <v>0</v>
      </c>
      <c r="F35" s="581">
        <v>0</v>
      </c>
      <c r="G35" s="581">
        <v>0</v>
      </c>
      <c r="H35" s="581">
        <v>0</v>
      </c>
    </row>
    <row r="36" spans="1:8">
      <c r="A36" s="581">
        <v>30</v>
      </c>
      <c r="B36" s="581" t="s">
        <v>1549</v>
      </c>
      <c r="C36" s="581">
        <v>1.4054</v>
      </c>
      <c r="D36" s="581">
        <v>0.2465</v>
      </c>
      <c r="E36" s="581">
        <v>4.1508000000000003</v>
      </c>
      <c r="F36" s="581">
        <v>0.64470000000000005</v>
      </c>
      <c r="G36" s="581">
        <v>1.5541</v>
      </c>
      <c r="H36" s="581">
        <v>1.9269000000000001</v>
      </c>
    </row>
    <row r="37" spans="1:8">
      <c r="A37" s="581">
        <v>31</v>
      </c>
      <c r="B37" s="581" t="s">
        <v>1550</v>
      </c>
      <c r="C37" s="581">
        <v>1</v>
      </c>
      <c r="D37" s="581">
        <v>0</v>
      </c>
      <c r="E37" s="581">
        <v>0</v>
      </c>
      <c r="F37" s="581">
        <v>0</v>
      </c>
      <c r="G37" s="581">
        <v>0</v>
      </c>
      <c r="H37" s="581">
        <v>0</v>
      </c>
    </row>
    <row r="38" spans="1:8">
      <c r="A38" s="581">
        <v>32</v>
      </c>
      <c r="B38" s="581" t="s">
        <v>1551</v>
      </c>
      <c r="C38" s="581">
        <v>1.4273</v>
      </c>
      <c r="D38" s="581">
        <v>0.33069999999999999</v>
      </c>
      <c r="E38" s="581">
        <v>7.2309999999999999</v>
      </c>
      <c r="F38" s="581">
        <v>0.68759999999999999</v>
      </c>
      <c r="G38" s="581">
        <v>1.4033</v>
      </c>
      <c r="H38" s="581">
        <v>1.4913000000000001</v>
      </c>
    </row>
    <row r="39" spans="1:8">
      <c r="A39" s="581">
        <v>33</v>
      </c>
      <c r="B39" s="581" t="s">
        <v>1552</v>
      </c>
      <c r="C39" s="581">
        <v>1.4164000000000001</v>
      </c>
      <c r="D39" s="581">
        <v>0.49730000000000002</v>
      </c>
      <c r="E39" s="581">
        <v>19.221499999999999</v>
      </c>
      <c r="F39" s="581">
        <v>0.79420000000000002</v>
      </c>
      <c r="G39" s="581">
        <v>1.2197</v>
      </c>
      <c r="H39" s="581">
        <v>1.1383000000000001</v>
      </c>
    </row>
    <row r="40" spans="1:8">
      <c r="A40" s="581">
        <v>34</v>
      </c>
      <c r="B40" s="581" t="s">
        <v>1553</v>
      </c>
      <c r="C40" s="581">
        <v>1</v>
      </c>
      <c r="D40" s="581">
        <v>0</v>
      </c>
      <c r="E40" s="581">
        <v>0</v>
      </c>
      <c r="F40" s="581">
        <v>0</v>
      </c>
      <c r="G40" s="581">
        <v>0</v>
      </c>
      <c r="H40" s="581">
        <v>0</v>
      </c>
    </row>
    <row r="41" spans="1:8">
      <c r="A41" s="581">
        <v>35</v>
      </c>
      <c r="B41" s="581" t="s">
        <v>1554</v>
      </c>
      <c r="C41" s="581">
        <v>1.3152999999999999</v>
      </c>
      <c r="D41" s="581">
        <v>0.32890000000000003</v>
      </c>
      <c r="E41" s="581">
        <v>7.0861999999999998</v>
      </c>
      <c r="F41" s="581">
        <v>0.87129999999999996</v>
      </c>
      <c r="G41" s="581">
        <v>1.2621</v>
      </c>
      <c r="H41" s="581">
        <v>1.3403</v>
      </c>
    </row>
    <row r="42" spans="1:8">
      <c r="A42" s="581">
        <v>36</v>
      </c>
      <c r="B42" s="581" t="s">
        <v>1555</v>
      </c>
      <c r="C42" s="581">
        <v>1.3519000000000001</v>
      </c>
      <c r="D42" s="581">
        <v>0.30869999999999997</v>
      </c>
      <c r="E42" s="581">
        <v>7.2919999999999998</v>
      </c>
      <c r="F42" s="581">
        <v>0.90939999999999999</v>
      </c>
      <c r="G42" s="581">
        <v>1.3028999999999999</v>
      </c>
      <c r="H42" s="581">
        <v>1.3435999999999999</v>
      </c>
    </row>
    <row r="43" spans="1:8">
      <c r="A43" s="581">
        <v>37</v>
      </c>
      <c r="B43" s="581" t="s">
        <v>1556</v>
      </c>
      <c r="C43" s="581">
        <v>1.4046000000000001</v>
      </c>
      <c r="D43" s="581">
        <v>0.36109999999999998</v>
      </c>
      <c r="E43" s="581">
        <v>6.1346999999999996</v>
      </c>
      <c r="F43" s="581">
        <v>0.67959999999999998</v>
      </c>
      <c r="G43" s="581">
        <v>1.3005</v>
      </c>
      <c r="H43" s="581">
        <v>1.5046999999999999</v>
      </c>
    </row>
    <row r="44" spans="1:8">
      <c r="A44" s="581">
        <v>38</v>
      </c>
      <c r="B44" s="581" t="s">
        <v>1557</v>
      </c>
      <c r="C44" s="581">
        <v>1.2337</v>
      </c>
      <c r="D44" s="581">
        <v>0.15890000000000001</v>
      </c>
      <c r="E44" s="581">
        <v>4.4592000000000001</v>
      </c>
      <c r="F44" s="581">
        <v>0.73660000000000003</v>
      </c>
      <c r="G44" s="581">
        <v>1.4334</v>
      </c>
      <c r="H44" s="581">
        <v>1.3884000000000001</v>
      </c>
    </row>
    <row r="45" spans="1:8">
      <c r="A45" s="581">
        <v>39</v>
      </c>
      <c r="B45" s="581" t="s">
        <v>1558</v>
      </c>
      <c r="C45" s="581">
        <v>1.2249000000000001</v>
      </c>
      <c r="D45" s="581">
        <v>0.2273</v>
      </c>
      <c r="E45" s="581">
        <v>2.7974999999999999</v>
      </c>
      <c r="F45" s="581">
        <v>0.57399999999999995</v>
      </c>
      <c r="G45" s="581">
        <v>1.2541</v>
      </c>
      <c r="H45" s="581">
        <v>1.7312000000000001</v>
      </c>
    </row>
    <row r="46" spans="1:8">
      <c r="A46" s="581">
        <v>40</v>
      </c>
      <c r="B46" s="581" t="s">
        <v>1559</v>
      </c>
      <c r="C46" s="581">
        <v>1.3322000000000001</v>
      </c>
      <c r="D46" s="581">
        <v>0.14599999999999999</v>
      </c>
      <c r="E46" s="581">
        <v>2.4041000000000001</v>
      </c>
      <c r="F46" s="581">
        <v>0.7429</v>
      </c>
      <c r="G46" s="581">
        <v>1.6333</v>
      </c>
      <c r="H46" s="581">
        <v>2.1286999999999998</v>
      </c>
    </row>
    <row r="47" spans="1:8">
      <c r="A47" s="581">
        <v>41</v>
      </c>
      <c r="B47" s="581" t="s">
        <v>1560</v>
      </c>
      <c r="C47" s="581">
        <v>1.3759999999999999</v>
      </c>
      <c r="D47" s="581">
        <v>0.2601</v>
      </c>
      <c r="E47" s="581">
        <v>4.1444999999999999</v>
      </c>
      <c r="F47" s="581">
        <v>0.69879999999999998</v>
      </c>
      <c r="G47" s="581">
        <v>1.4161999999999999</v>
      </c>
      <c r="H47" s="581">
        <v>1.8803000000000001</v>
      </c>
    </row>
    <row r="48" spans="1:8">
      <c r="A48" s="581">
        <v>42</v>
      </c>
      <c r="B48" s="581" t="s">
        <v>1561</v>
      </c>
      <c r="C48" s="581">
        <v>1.3531</v>
      </c>
      <c r="D48" s="581">
        <v>0.21729999999999999</v>
      </c>
      <c r="E48" s="581">
        <v>4.0235000000000003</v>
      </c>
      <c r="F48" s="581">
        <v>0.70069999999999999</v>
      </c>
      <c r="G48" s="581">
        <v>1.5029999999999999</v>
      </c>
      <c r="H48" s="581">
        <v>1.8260000000000001</v>
      </c>
    </row>
    <row r="49" spans="1:8">
      <c r="A49" s="581">
        <v>43</v>
      </c>
      <c r="B49" s="581" t="s">
        <v>1562</v>
      </c>
      <c r="C49" s="581">
        <v>1.2927999999999999</v>
      </c>
      <c r="D49" s="581">
        <v>0.2049</v>
      </c>
      <c r="E49" s="581">
        <v>3.3952</v>
      </c>
      <c r="F49" s="581">
        <v>0.70309999999999995</v>
      </c>
      <c r="G49" s="581">
        <v>1.3852</v>
      </c>
      <c r="H49" s="581">
        <v>1.6776</v>
      </c>
    </row>
    <row r="50" spans="1:8">
      <c r="A50" s="581">
        <v>44</v>
      </c>
      <c r="B50" s="581" t="s">
        <v>1563</v>
      </c>
      <c r="C50" s="581">
        <v>1.3218000000000001</v>
      </c>
      <c r="D50" s="581">
        <v>0.29659999999999997</v>
      </c>
      <c r="E50" s="581">
        <v>4.5903999999999998</v>
      </c>
      <c r="F50" s="581">
        <v>0.86470000000000002</v>
      </c>
      <c r="G50" s="581">
        <v>1.3050999999999999</v>
      </c>
      <c r="H50" s="581">
        <v>1.5271999999999999</v>
      </c>
    </row>
    <row r="51" spans="1:8">
      <c r="A51" s="581">
        <v>45</v>
      </c>
      <c r="B51" s="581" t="s">
        <v>1564</v>
      </c>
      <c r="C51" s="581">
        <v>1</v>
      </c>
      <c r="D51" s="581">
        <v>0</v>
      </c>
      <c r="E51" s="581">
        <v>0</v>
      </c>
      <c r="F51" s="581">
        <v>0</v>
      </c>
      <c r="G51" s="581">
        <v>0</v>
      </c>
      <c r="H51" s="581">
        <v>0</v>
      </c>
    </row>
    <row r="52" spans="1:8">
      <c r="A52" s="581">
        <v>46</v>
      </c>
      <c r="B52" s="581" t="s">
        <v>1565</v>
      </c>
      <c r="C52" s="581">
        <v>1.2030000000000001</v>
      </c>
      <c r="D52" s="581">
        <v>6.4799999999999996E-2</v>
      </c>
      <c r="E52" s="581">
        <v>3.3283</v>
      </c>
      <c r="F52" s="581">
        <v>0.81010000000000004</v>
      </c>
      <c r="G52" s="581">
        <v>2.3628</v>
      </c>
      <c r="H52" s="581">
        <v>1.3685</v>
      </c>
    </row>
    <row r="53" spans="1:8">
      <c r="A53" s="581">
        <v>47</v>
      </c>
      <c r="B53" s="581" t="s">
        <v>1566</v>
      </c>
      <c r="C53" s="581">
        <v>1.4829000000000001</v>
      </c>
      <c r="D53" s="581">
        <v>0.2863</v>
      </c>
      <c r="E53" s="581">
        <v>5.0852000000000004</v>
      </c>
      <c r="F53" s="581">
        <v>0.9365</v>
      </c>
      <c r="G53" s="581">
        <v>1.5579000000000001</v>
      </c>
      <c r="H53" s="581">
        <v>1.8288</v>
      </c>
    </row>
    <row r="54" spans="1:8">
      <c r="A54" s="581">
        <v>48</v>
      </c>
      <c r="B54" s="581" t="s">
        <v>1567</v>
      </c>
      <c r="C54" s="581">
        <v>1.387</v>
      </c>
      <c r="D54" s="581">
        <v>0.41959999999999997</v>
      </c>
      <c r="E54" s="581">
        <v>7.0171999999999999</v>
      </c>
      <c r="F54" s="581">
        <v>0.90710000000000002</v>
      </c>
      <c r="G54" s="581">
        <v>1.2381</v>
      </c>
      <c r="H54" s="581">
        <v>1.4495</v>
      </c>
    </row>
    <row r="55" spans="1:8">
      <c r="A55" s="581">
        <v>49</v>
      </c>
      <c r="B55" s="581" t="s">
        <v>1568</v>
      </c>
      <c r="C55" s="581">
        <v>1.2712000000000001</v>
      </c>
      <c r="D55" s="581">
        <v>0.2409</v>
      </c>
      <c r="E55" s="581">
        <v>2.9352</v>
      </c>
      <c r="F55" s="581">
        <v>0.80989999999999995</v>
      </c>
      <c r="G55" s="581">
        <v>1.3063</v>
      </c>
      <c r="H55" s="581">
        <v>1.9224000000000001</v>
      </c>
    </row>
    <row r="56" spans="1:8">
      <c r="A56" s="581">
        <v>50</v>
      </c>
      <c r="B56" s="581" t="s">
        <v>1569</v>
      </c>
      <c r="C56" s="581">
        <v>1.3956999999999999</v>
      </c>
      <c r="D56" s="581">
        <v>0.40910000000000002</v>
      </c>
      <c r="E56" s="581">
        <v>14.497400000000001</v>
      </c>
      <c r="F56" s="581">
        <v>0.877</v>
      </c>
      <c r="G56" s="581">
        <v>1.2584</v>
      </c>
      <c r="H56" s="581">
        <v>1.1831</v>
      </c>
    </row>
    <row r="57" spans="1:8">
      <c r="A57" s="581">
        <v>51</v>
      </c>
      <c r="B57" s="581" t="s">
        <v>1570</v>
      </c>
      <c r="C57" s="581">
        <v>1.4875</v>
      </c>
      <c r="D57" s="581">
        <v>0.35060000000000002</v>
      </c>
      <c r="E57" s="581">
        <v>6.6974</v>
      </c>
      <c r="F57" s="581">
        <v>0.80089999999999995</v>
      </c>
      <c r="G57" s="581">
        <v>1.4471000000000001</v>
      </c>
      <c r="H57" s="581">
        <v>1.6137999999999999</v>
      </c>
    </row>
    <row r="58" spans="1:8">
      <c r="A58" s="581">
        <v>52</v>
      </c>
      <c r="B58" s="581" t="s">
        <v>1571</v>
      </c>
      <c r="C58" s="581">
        <v>1.4131</v>
      </c>
      <c r="D58" s="581">
        <v>0.45219999999999999</v>
      </c>
      <c r="E58" s="581">
        <v>15.082599999999999</v>
      </c>
      <c r="F58" s="581">
        <v>0.89529999999999998</v>
      </c>
      <c r="G58" s="581">
        <v>1.2231000000000001</v>
      </c>
      <c r="H58" s="581">
        <v>1.1734</v>
      </c>
    </row>
    <row r="59" spans="1:8">
      <c r="A59" s="581">
        <v>53</v>
      </c>
      <c r="B59" s="581" t="s">
        <v>1572</v>
      </c>
      <c r="C59" s="581">
        <v>1.4665999999999999</v>
      </c>
      <c r="D59" s="581">
        <v>0.4829</v>
      </c>
      <c r="E59" s="581">
        <v>9.1143999999999998</v>
      </c>
      <c r="F59" s="581">
        <v>0.91469999999999996</v>
      </c>
      <c r="G59" s="581">
        <v>1.2668999999999999</v>
      </c>
      <c r="H59" s="581">
        <v>1.4049</v>
      </c>
    </row>
    <row r="60" spans="1:8">
      <c r="A60" s="581">
        <v>54</v>
      </c>
      <c r="B60" s="581" t="s">
        <v>1573</v>
      </c>
      <c r="C60" s="581">
        <v>1.4525999999999999</v>
      </c>
      <c r="D60" s="581">
        <v>0.36249999999999999</v>
      </c>
      <c r="E60" s="581">
        <v>7.2489999999999997</v>
      </c>
      <c r="F60" s="581">
        <v>0.80220000000000002</v>
      </c>
      <c r="G60" s="581">
        <v>1.3244</v>
      </c>
      <c r="H60" s="581">
        <v>1.4581999999999999</v>
      </c>
    </row>
    <row r="61" spans="1:8">
      <c r="A61" s="581">
        <v>55</v>
      </c>
      <c r="B61" s="581" t="s">
        <v>1574</v>
      </c>
      <c r="C61" s="581">
        <v>1.4807999999999999</v>
      </c>
      <c r="D61" s="581">
        <v>0.51280000000000003</v>
      </c>
      <c r="E61" s="581">
        <v>15.437200000000001</v>
      </c>
      <c r="F61" s="581">
        <v>0.95340000000000003</v>
      </c>
      <c r="G61" s="581">
        <v>1.2312000000000001</v>
      </c>
      <c r="H61" s="581">
        <v>1.2025999999999999</v>
      </c>
    </row>
    <row r="62" spans="1:8">
      <c r="A62" s="581">
        <v>56</v>
      </c>
      <c r="B62" s="581" t="s">
        <v>1575</v>
      </c>
      <c r="C62" s="581">
        <v>1.4784999999999999</v>
      </c>
      <c r="D62" s="581">
        <v>0.50160000000000005</v>
      </c>
      <c r="E62" s="581">
        <v>21.072600000000001</v>
      </c>
      <c r="F62" s="581">
        <v>0.92059999999999997</v>
      </c>
      <c r="G62" s="581">
        <v>1.2408999999999999</v>
      </c>
      <c r="H62" s="581">
        <v>1.1427</v>
      </c>
    </row>
    <row r="63" spans="1:8">
      <c r="A63" s="581">
        <v>57</v>
      </c>
      <c r="B63" s="581" t="s">
        <v>1576</v>
      </c>
      <c r="C63" s="581">
        <v>1.2985</v>
      </c>
      <c r="D63" s="581">
        <v>0.31159999999999999</v>
      </c>
      <c r="E63" s="581">
        <v>10.6515</v>
      </c>
      <c r="F63" s="581">
        <v>0.78459999999999996</v>
      </c>
      <c r="G63" s="581">
        <v>1.2627999999999999</v>
      </c>
      <c r="H63" s="581">
        <v>1.1973</v>
      </c>
    </row>
    <row r="64" spans="1:8">
      <c r="A64" s="581">
        <v>58</v>
      </c>
      <c r="B64" s="581" t="s">
        <v>1577</v>
      </c>
      <c r="C64" s="581">
        <v>1.3849</v>
      </c>
      <c r="D64" s="581">
        <v>0.33100000000000002</v>
      </c>
      <c r="E64" s="581">
        <v>15.3605</v>
      </c>
      <c r="F64" s="581">
        <v>0.87560000000000004</v>
      </c>
      <c r="G64" s="581">
        <v>1.2924</v>
      </c>
      <c r="H64" s="581">
        <v>1.1418999999999999</v>
      </c>
    </row>
    <row r="65" spans="1:8">
      <c r="A65" s="581">
        <v>59</v>
      </c>
      <c r="B65" s="581" t="s">
        <v>1578</v>
      </c>
      <c r="C65" s="581">
        <v>1.4476</v>
      </c>
      <c r="D65" s="581">
        <v>0.34250000000000003</v>
      </c>
      <c r="E65" s="581">
        <v>9.1128</v>
      </c>
      <c r="F65" s="581">
        <v>0.81179999999999997</v>
      </c>
      <c r="G65" s="581">
        <v>1.3664000000000001</v>
      </c>
      <c r="H65" s="581">
        <v>1.3427</v>
      </c>
    </row>
    <row r="66" spans="1:8">
      <c r="A66" s="581">
        <v>60</v>
      </c>
      <c r="B66" s="581" t="s">
        <v>1579</v>
      </c>
      <c r="C66" s="581">
        <v>1.4753000000000001</v>
      </c>
      <c r="D66" s="581">
        <v>0.38140000000000002</v>
      </c>
      <c r="E66" s="581">
        <v>17.945900000000002</v>
      </c>
      <c r="F66" s="581">
        <v>0.80800000000000005</v>
      </c>
      <c r="G66" s="581">
        <v>1.3210999999999999</v>
      </c>
      <c r="H66" s="581">
        <v>1.1513</v>
      </c>
    </row>
    <row r="67" spans="1:8">
      <c r="A67" s="581">
        <v>61</v>
      </c>
      <c r="B67" s="581" t="s">
        <v>1580</v>
      </c>
      <c r="C67" s="581">
        <v>1.4645999999999999</v>
      </c>
      <c r="D67" s="581">
        <v>0.37540000000000001</v>
      </c>
      <c r="E67" s="581">
        <v>9.5237999999999996</v>
      </c>
      <c r="F67" s="581">
        <v>0.83120000000000005</v>
      </c>
      <c r="G67" s="581">
        <v>1.3398000000000001</v>
      </c>
      <c r="H67" s="581">
        <v>1.3402000000000001</v>
      </c>
    </row>
    <row r="68" spans="1:8">
      <c r="A68" s="581">
        <v>62</v>
      </c>
      <c r="B68" s="581" t="s">
        <v>1581</v>
      </c>
      <c r="C68" s="581">
        <v>0.70499999999999996</v>
      </c>
      <c r="D68" s="581">
        <v>0.15049999999999999</v>
      </c>
      <c r="E68" s="581">
        <v>4.2361000000000004</v>
      </c>
      <c r="F68" s="581">
        <v>0.42609999999999998</v>
      </c>
      <c r="G68" s="581">
        <v>0</v>
      </c>
      <c r="H68" s="581">
        <v>0</v>
      </c>
    </row>
    <row r="70" spans="1:8">
      <c r="C70" s="581">
        <f>SUM(C6:C68)</f>
        <v>82.454100000000025</v>
      </c>
      <c r="D70" s="581">
        <f t="shared" ref="D70:H70" si="0">SUM(D6:D68)</f>
        <v>16.494400000000002</v>
      </c>
      <c r="E70" s="581">
        <f t="shared" si="0"/>
        <v>420.7193000000002</v>
      </c>
      <c r="F70" s="581">
        <f t="shared" si="0"/>
        <v>39.587099999999992</v>
      </c>
      <c r="G70" s="581">
        <f t="shared" si="0"/>
        <v>76.603899999999996</v>
      </c>
      <c r="H70" s="581">
        <f t="shared" si="0"/>
        <v>83.103700000000003</v>
      </c>
    </row>
    <row r="71" spans="1:8">
      <c r="C71" s="581">
        <f>C70-(SUM(cumberland!B2:B63))</f>
        <v>0.21240000000005921</v>
      </c>
      <c r="D71" s="581">
        <f>D70-(SUM(cumberland!C2:C63))</f>
        <v>-0.55799999999999983</v>
      </c>
      <c r="E71" s="581">
        <f>E70-(SUM(cumberland!D2:D63))</f>
        <v>-20.360599999999749</v>
      </c>
      <c r="F71" s="581">
        <f>F70-(SUM(cumberland!E2:E63))</f>
        <v>-1.1564000000000192</v>
      </c>
      <c r="G71" s="581">
        <f>G70-(SUM(cumberland!F2:F63))</f>
        <v>1.290600000000012</v>
      </c>
      <c r="H71" s="581">
        <f>H70-(SUM(cumberland!G2:G63))</f>
        <v>2.1093000000000046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A2" sqref="A2"/>
    </sheetView>
  </sheetViews>
  <sheetFormatPr defaultColWidth="9.109375" defaultRowHeight="14.4"/>
  <cols>
    <col min="1" max="1" width="10.33203125" style="241" bestFit="1" customWidth="1"/>
    <col min="2" max="2" width="37.6640625" style="241" customWidth="1"/>
    <col min="3" max="3" width="27" style="241" bestFit="1" customWidth="1"/>
    <col min="4" max="4" width="10.6640625" style="241" bestFit="1" customWidth="1"/>
    <col min="5" max="16384" width="9.109375" style="241"/>
  </cols>
  <sheetData>
    <row r="1" spans="1:4">
      <c r="A1" s="240" t="s">
        <v>1310</v>
      </c>
      <c r="B1" s="240" t="s">
        <v>1303</v>
      </c>
      <c r="C1" s="240" t="s">
        <v>1304</v>
      </c>
      <c r="D1" s="240" t="s">
        <v>1301</v>
      </c>
    </row>
    <row r="2" spans="1:4">
      <c r="A2" s="241" t="s">
        <v>1303</v>
      </c>
      <c r="B2" s="241" t="s">
        <v>1311</v>
      </c>
      <c r="C2" s="241" t="s">
        <v>1305</v>
      </c>
      <c r="D2" s="241" t="s">
        <v>1302</v>
      </c>
    </row>
    <row r="3" spans="1:4">
      <c r="A3" s="241" t="s">
        <v>1304</v>
      </c>
      <c r="B3" s="241" t="s">
        <v>1312</v>
      </c>
      <c r="C3" s="241" t="s">
        <v>1307</v>
      </c>
    </row>
    <row r="4" spans="1:4">
      <c r="A4" s="241" t="s">
        <v>1301</v>
      </c>
      <c r="B4" s="241" t="s">
        <v>1313</v>
      </c>
      <c r="C4" s="241" t="s">
        <v>1308</v>
      </c>
    </row>
    <row r="5" spans="1:4">
      <c r="A5" s="239"/>
      <c r="B5" s="241" t="s">
        <v>1314</v>
      </c>
      <c r="C5" s="241" t="s">
        <v>1309</v>
      </c>
    </row>
    <row r="6" spans="1:4">
      <c r="A6" s="239"/>
      <c r="B6" s="241" t="s">
        <v>1315</v>
      </c>
      <c r="C6" s="241" t="s">
        <v>1316</v>
      </c>
    </row>
    <row r="7" spans="1:4">
      <c r="A7" s="239"/>
      <c r="B7" s="241" t="s">
        <v>1317</v>
      </c>
      <c r="C7" s="241" t="s">
        <v>1318</v>
      </c>
    </row>
    <row r="8" spans="1:4">
      <c r="A8" s="239"/>
      <c r="B8" s="241" t="s">
        <v>1319</v>
      </c>
      <c r="C8" s="241" t="s">
        <v>1320</v>
      </c>
    </row>
    <row r="9" spans="1:4">
      <c r="A9" s="239"/>
      <c r="B9" s="241" t="s">
        <v>1321</v>
      </c>
    </row>
    <row r="10" spans="1:4">
      <c r="A10" s="239"/>
      <c r="B10" s="241" t="s">
        <v>1322</v>
      </c>
    </row>
    <row r="11" spans="1:4">
      <c r="A11" s="239"/>
      <c r="B11" s="241" t="s">
        <v>1323</v>
      </c>
    </row>
    <row r="12" spans="1:4">
      <c r="A12" s="239"/>
      <c r="B12" s="241" t="s">
        <v>1324</v>
      </c>
    </row>
    <row r="13" spans="1:4">
      <c r="A13" s="239"/>
      <c r="B13" s="241" t="s">
        <v>1325</v>
      </c>
    </row>
    <row r="14" spans="1:4">
      <c r="A14" s="239"/>
      <c r="B14" s="241" t="s">
        <v>1326</v>
      </c>
    </row>
    <row r="15" spans="1:4">
      <c r="A15" s="239"/>
      <c r="C15" s="239"/>
      <c r="D15" s="239"/>
    </row>
    <row r="16" spans="1:4">
      <c r="A16" s="239"/>
      <c r="B16" s="239"/>
      <c r="C16" s="239"/>
      <c r="D16" s="239"/>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H71"/>
  <sheetViews>
    <sheetView topLeftCell="A66" workbookViewId="0">
      <selection activeCell="D66" sqref="D66"/>
    </sheetView>
  </sheetViews>
  <sheetFormatPr defaultColWidth="9.109375" defaultRowHeight="14.4"/>
  <cols>
    <col min="1" max="16384" width="9.109375" style="581"/>
  </cols>
  <sheetData>
    <row r="1" spans="1:8">
      <c r="A1" s="581" t="s">
        <v>1513</v>
      </c>
    </row>
    <row r="2" spans="1:8">
      <c r="A2" s="581" t="s">
        <v>1592</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1.5006999999999999</v>
      </c>
      <c r="D7" s="581">
        <v>0.37059999999999998</v>
      </c>
      <c r="E7" s="581">
        <v>15.4339</v>
      </c>
      <c r="F7" s="581">
        <v>0.69389999999999996</v>
      </c>
      <c r="G7" s="581">
        <v>1.4204000000000001</v>
      </c>
      <c r="H7" s="581">
        <v>1.2413000000000001</v>
      </c>
    </row>
    <row r="8" spans="1:8">
      <c r="A8" s="581">
        <v>2</v>
      </c>
      <c r="B8" s="581" t="s">
        <v>1521</v>
      </c>
      <c r="C8" s="581">
        <v>1.5067999999999999</v>
      </c>
      <c r="D8" s="581">
        <v>0.46750000000000003</v>
      </c>
      <c r="E8" s="581">
        <v>19.6082</v>
      </c>
      <c r="F8" s="581">
        <v>0.96819999999999995</v>
      </c>
      <c r="G8" s="581">
        <v>1.3166</v>
      </c>
      <c r="H8" s="581">
        <v>1.1681999999999999</v>
      </c>
    </row>
    <row r="9" spans="1:8">
      <c r="A9" s="581">
        <v>3</v>
      </c>
      <c r="B9" s="581" t="s">
        <v>1522</v>
      </c>
      <c r="C9" s="581">
        <v>1.411</v>
      </c>
      <c r="D9" s="581">
        <v>0.26119999999999999</v>
      </c>
      <c r="E9" s="581">
        <v>6.5053000000000001</v>
      </c>
      <c r="F9" s="581">
        <v>0.87870000000000004</v>
      </c>
      <c r="G9" s="581">
        <v>1.5241</v>
      </c>
      <c r="H9" s="581">
        <v>1.4536</v>
      </c>
    </row>
    <row r="10" spans="1:8">
      <c r="A10" s="581">
        <v>4</v>
      </c>
      <c r="B10" s="581" t="s">
        <v>1523</v>
      </c>
      <c r="C10" s="581">
        <v>1.4563999999999999</v>
      </c>
      <c r="D10" s="581">
        <v>0.18709999999999999</v>
      </c>
      <c r="E10" s="581">
        <v>3.3428</v>
      </c>
      <c r="F10" s="581">
        <v>0.78500000000000003</v>
      </c>
      <c r="G10" s="581">
        <v>2.117</v>
      </c>
      <c r="H10" s="581">
        <v>2.4910999999999999</v>
      </c>
    </row>
    <row r="11" spans="1:8">
      <c r="A11" s="581">
        <v>5</v>
      </c>
      <c r="B11" s="581" t="s">
        <v>1524</v>
      </c>
      <c r="C11" s="581">
        <v>1.6569</v>
      </c>
      <c r="D11" s="581">
        <v>0.26169999999999999</v>
      </c>
      <c r="E11" s="581">
        <v>5.3682999999999996</v>
      </c>
      <c r="F11" s="581">
        <v>0.71060000000000001</v>
      </c>
      <c r="G11" s="581">
        <v>2.3170000000000002</v>
      </c>
      <c r="H11" s="581">
        <v>2.2682000000000002</v>
      </c>
    </row>
    <row r="12" spans="1:8">
      <c r="A12" s="581">
        <v>6</v>
      </c>
      <c r="B12" s="581" t="s">
        <v>1525</v>
      </c>
      <c r="C12" s="581">
        <v>1.1653</v>
      </c>
      <c r="D12" s="581">
        <v>0.1197</v>
      </c>
      <c r="E12" s="581">
        <v>1.6744000000000001</v>
      </c>
      <c r="F12" s="581">
        <v>0.67549999999999999</v>
      </c>
      <c r="G12" s="581">
        <v>1.4560999999999999</v>
      </c>
      <c r="H12" s="581">
        <v>2.1840000000000002</v>
      </c>
    </row>
    <row r="13" spans="1:8">
      <c r="A13" s="581">
        <v>7</v>
      </c>
      <c r="B13" s="581" t="s">
        <v>1526</v>
      </c>
      <c r="C13" s="581">
        <v>1.645</v>
      </c>
      <c r="D13" s="581">
        <v>0.38319999999999999</v>
      </c>
      <c r="E13" s="581">
        <v>8.0074000000000005</v>
      </c>
      <c r="F13" s="581">
        <v>0.88449999999999995</v>
      </c>
      <c r="G13" s="581">
        <v>1.6105</v>
      </c>
      <c r="H13" s="581">
        <v>1.7628999999999999</v>
      </c>
    </row>
    <row r="14" spans="1:8">
      <c r="A14" s="581">
        <v>8</v>
      </c>
      <c r="B14" s="581" t="s">
        <v>1527</v>
      </c>
      <c r="C14" s="581">
        <v>1.4205000000000001</v>
      </c>
      <c r="D14" s="581">
        <v>0.15090000000000001</v>
      </c>
      <c r="E14" s="581">
        <v>3.49</v>
      </c>
      <c r="F14" s="581">
        <v>0.52470000000000006</v>
      </c>
      <c r="G14" s="581">
        <v>2.4941</v>
      </c>
      <c r="H14" s="581">
        <v>2.2618999999999998</v>
      </c>
    </row>
    <row r="15" spans="1:8">
      <c r="A15" s="581">
        <v>9</v>
      </c>
      <c r="B15" s="581" t="s">
        <v>1528</v>
      </c>
      <c r="C15" s="581">
        <v>1.4831000000000001</v>
      </c>
      <c r="D15" s="581">
        <v>0.23089999999999999</v>
      </c>
      <c r="E15" s="581">
        <v>4.7011000000000003</v>
      </c>
      <c r="F15" s="581">
        <v>0.66200000000000003</v>
      </c>
      <c r="G15" s="581">
        <v>1.8391</v>
      </c>
      <c r="H15" s="581">
        <v>2.0047999999999999</v>
      </c>
    </row>
    <row r="16" spans="1:8">
      <c r="A16" s="581">
        <v>10</v>
      </c>
      <c r="B16" s="581" t="s">
        <v>1529</v>
      </c>
      <c r="C16" s="581">
        <v>1.5439000000000001</v>
      </c>
      <c r="D16" s="581">
        <v>0.27750000000000002</v>
      </c>
      <c r="E16" s="581">
        <v>5.2552000000000003</v>
      </c>
      <c r="F16" s="581">
        <v>0.56079999999999997</v>
      </c>
      <c r="G16" s="581">
        <v>1.7897000000000001</v>
      </c>
      <c r="H16" s="581">
        <v>2.0657999999999999</v>
      </c>
    </row>
    <row r="17" spans="1:8">
      <c r="A17" s="581">
        <v>11</v>
      </c>
      <c r="B17" s="581" t="s">
        <v>1530</v>
      </c>
      <c r="C17" s="581">
        <v>1.4549000000000001</v>
      </c>
      <c r="D17" s="581">
        <v>0.24060000000000001</v>
      </c>
      <c r="E17" s="581">
        <v>4.9367999999999999</v>
      </c>
      <c r="F17" s="581">
        <v>0.66779999999999995</v>
      </c>
      <c r="G17" s="581">
        <v>1.704</v>
      </c>
      <c r="H17" s="581">
        <v>1.8290999999999999</v>
      </c>
    </row>
    <row r="18" spans="1:8">
      <c r="A18" s="581">
        <v>12</v>
      </c>
      <c r="B18" s="581" t="s">
        <v>1531</v>
      </c>
      <c r="C18" s="581">
        <v>1.5065999999999999</v>
      </c>
      <c r="D18" s="581">
        <v>0.24329999999999999</v>
      </c>
      <c r="E18" s="581">
        <v>4.4406999999999996</v>
      </c>
      <c r="F18" s="581">
        <v>0.65129999999999999</v>
      </c>
      <c r="G18" s="581">
        <v>1.8539000000000001</v>
      </c>
      <c r="H18" s="581">
        <v>2.1463999999999999</v>
      </c>
    </row>
    <row r="19" spans="1:8">
      <c r="A19" s="581">
        <v>13</v>
      </c>
      <c r="B19" s="581" t="s">
        <v>1532</v>
      </c>
      <c r="C19" s="581">
        <v>1.6738999999999999</v>
      </c>
      <c r="D19" s="581">
        <v>0.31530000000000002</v>
      </c>
      <c r="E19" s="581">
        <v>5.1147</v>
      </c>
      <c r="F19" s="581">
        <v>0.89549999999999996</v>
      </c>
      <c r="G19" s="581">
        <v>1.8740000000000001</v>
      </c>
      <c r="H19" s="581">
        <v>2.4443999999999999</v>
      </c>
    </row>
    <row r="20" spans="1:8">
      <c r="A20" s="581">
        <v>14</v>
      </c>
      <c r="B20" s="581" t="s">
        <v>1533</v>
      </c>
      <c r="C20" s="581">
        <v>1.4181999999999999</v>
      </c>
      <c r="D20" s="581">
        <v>0.2271</v>
      </c>
      <c r="E20" s="581">
        <v>4.3891</v>
      </c>
      <c r="F20" s="581">
        <v>0.66869999999999996</v>
      </c>
      <c r="G20" s="581">
        <v>1.653</v>
      </c>
      <c r="H20" s="581">
        <v>1.7958000000000001</v>
      </c>
    </row>
    <row r="21" spans="1:8">
      <c r="A21" s="581">
        <v>15</v>
      </c>
      <c r="B21" s="581" t="s">
        <v>1534</v>
      </c>
      <c r="C21" s="581">
        <v>1.4649000000000001</v>
      </c>
      <c r="D21" s="581">
        <v>0.2392</v>
      </c>
      <c r="E21" s="581">
        <v>4.4550000000000001</v>
      </c>
      <c r="F21" s="581">
        <v>0.48699999999999999</v>
      </c>
      <c r="G21" s="581">
        <v>1.7488999999999999</v>
      </c>
      <c r="H21" s="581">
        <v>1.9419</v>
      </c>
    </row>
    <row r="22" spans="1:8">
      <c r="A22" s="581">
        <v>16</v>
      </c>
      <c r="B22" s="581" t="s">
        <v>1535</v>
      </c>
      <c r="C22" s="581">
        <v>1.4755</v>
      </c>
      <c r="D22" s="581">
        <v>0.20419999999999999</v>
      </c>
      <c r="E22" s="581">
        <v>4.0312000000000001</v>
      </c>
      <c r="F22" s="581">
        <v>0.62790000000000001</v>
      </c>
      <c r="G22" s="581">
        <v>2.1252</v>
      </c>
      <c r="H22" s="581">
        <v>2.2130000000000001</v>
      </c>
    </row>
    <row r="23" spans="1:8">
      <c r="A23" s="581">
        <v>17</v>
      </c>
      <c r="B23" s="581" t="s">
        <v>1536</v>
      </c>
      <c r="C23" s="581">
        <v>1.6053999999999999</v>
      </c>
      <c r="D23" s="581">
        <v>0.3024</v>
      </c>
      <c r="E23" s="581">
        <v>6.9443000000000001</v>
      </c>
      <c r="F23" s="581">
        <v>0.76219999999999999</v>
      </c>
      <c r="G23" s="581">
        <v>1.7886</v>
      </c>
      <c r="H23" s="581">
        <v>1.7995000000000001</v>
      </c>
    </row>
    <row r="24" spans="1:8">
      <c r="A24" s="581">
        <v>18</v>
      </c>
      <c r="B24" s="581" t="s">
        <v>1537</v>
      </c>
      <c r="C24" s="581">
        <v>1.5176000000000001</v>
      </c>
      <c r="D24" s="581">
        <v>0.29310000000000003</v>
      </c>
      <c r="E24" s="581">
        <v>5.4238999999999997</v>
      </c>
      <c r="F24" s="581">
        <v>0.82399999999999995</v>
      </c>
      <c r="G24" s="581">
        <v>1.6328</v>
      </c>
      <c r="H24" s="581">
        <v>1.9105000000000001</v>
      </c>
    </row>
    <row r="25" spans="1:8">
      <c r="A25" s="581">
        <v>19</v>
      </c>
      <c r="B25" s="581" t="s">
        <v>1538</v>
      </c>
      <c r="C25" s="581">
        <v>1.5003</v>
      </c>
      <c r="D25" s="581">
        <v>0.20349999999999999</v>
      </c>
      <c r="E25" s="581">
        <v>4.4005999999999998</v>
      </c>
      <c r="F25" s="581">
        <v>0.54520000000000002</v>
      </c>
      <c r="G25" s="581">
        <v>2.1909000000000001</v>
      </c>
      <c r="H25" s="581">
        <v>2.1688000000000001</v>
      </c>
    </row>
    <row r="26" spans="1:8">
      <c r="A26" s="581">
        <v>20</v>
      </c>
      <c r="B26" s="581" t="s">
        <v>1539</v>
      </c>
      <c r="C26" s="581">
        <v>1.5126999999999999</v>
      </c>
      <c r="D26" s="581">
        <v>0.30719999999999997</v>
      </c>
      <c r="E26" s="581">
        <v>7.2309000000000001</v>
      </c>
      <c r="F26" s="581">
        <v>0.59570000000000001</v>
      </c>
      <c r="G26" s="581">
        <v>1.5815999999999999</v>
      </c>
      <c r="H26" s="581">
        <v>1.5562</v>
      </c>
    </row>
    <row r="27" spans="1:8">
      <c r="A27" s="581">
        <v>21</v>
      </c>
      <c r="B27" s="581" t="s">
        <v>1540</v>
      </c>
      <c r="C27" s="581">
        <v>1.5730999999999999</v>
      </c>
      <c r="D27" s="581">
        <v>0.3009</v>
      </c>
      <c r="E27" s="581">
        <v>7.5347</v>
      </c>
      <c r="F27" s="581">
        <v>0.75219999999999998</v>
      </c>
      <c r="G27" s="581">
        <v>1.7505999999999999</v>
      </c>
      <c r="H27" s="581">
        <v>1.6367</v>
      </c>
    </row>
    <row r="28" spans="1:8">
      <c r="A28" s="581">
        <v>22</v>
      </c>
      <c r="B28" s="581" t="s">
        <v>1541</v>
      </c>
      <c r="C28" s="581">
        <v>1.4762999999999999</v>
      </c>
      <c r="D28" s="581">
        <v>0.27539999999999998</v>
      </c>
      <c r="E28" s="581">
        <v>5.0162000000000004</v>
      </c>
      <c r="F28" s="581">
        <v>0.64139999999999997</v>
      </c>
      <c r="G28" s="581">
        <v>1.6025</v>
      </c>
      <c r="H28" s="581">
        <v>1.8541000000000001</v>
      </c>
    </row>
    <row r="29" spans="1:8">
      <c r="A29" s="581">
        <v>23</v>
      </c>
      <c r="B29" s="581" t="s">
        <v>1542</v>
      </c>
      <c r="C29" s="581">
        <v>1.6506000000000001</v>
      </c>
      <c r="D29" s="581">
        <v>0.3115</v>
      </c>
      <c r="E29" s="581">
        <v>6.5891000000000002</v>
      </c>
      <c r="F29" s="581">
        <v>0.75390000000000001</v>
      </c>
      <c r="G29" s="581">
        <v>1.8517999999999999</v>
      </c>
      <c r="H29" s="581">
        <v>1.9922</v>
      </c>
    </row>
    <row r="30" spans="1:8">
      <c r="A30" s="581">
        <v>24</v>
      </c>
      <c r="B30" s="581" t="s">
        <v>1543</v>
      </c>
      <c r="C30" s="581">
        <v>1.1536999999999999</v>
      </c>
      <c r="D30" s="581">
        <v>0.1017</v>
      </c>
      <c r="E30" s="581">
        <v>1.4802999999999999</v>
      </c>
      <c r="F30" s="581">
        <v>0.2964</v>
      </c>
      <c r="G30" s="581">
        <v>1.4882</v>
      </c>
      <c r="H30" s="581">
        <v>2.0586000000000002</v>
      </c>
    </row>
    <row r="31" spans="1:8">
      <c r="A31" s="581">
        <v>25</v>
      </c>
      <c r="B31" s="581" t="s">
        <v>1544</v>
      </c>
      <c r="C31" s="581">
        <v>1.4115</v>
      </c>
      <c r="D31" s="581">
        <v>0.18310000000000001</v>
      </c>
      <c r="E31" s="581">
        <v>2.7403</v>
      </c>
      <c r="F31" s="581">
        <v>0.57379999999999998</v>
      </c>
      <c r="G31" s="581">
        <v>2.0474000000000001</v>
      </c>
      <c r="H31" s="581">
        <v>3.2429000000000001</v>
      </c>
    </row>
    <row r="32" spans="1:8">
      <c r="A32" s="581">
        <v>26</v>
      </c>
      <c r="B32" s="581" t="s">
        <v>1545</v>
      </c>
      <c r="C32" s="581">
        <v>1.4718</v>
      </c>
      <c r="D32" s="581">
        <v>0.2122</v>
      </c>
      <c r="E32" s="581">
        <v>4.4092000000000002</v>
      </c>
      <c r="F32" s="581">
        <v>0.59460000000000002</v>
      </c>
      <c r="G32" s="581">
        <v>1.8667</v>
      </c>
      <c r="H32" s="581">
        <v>1.9649000000000001</v>
      </c>
    </row>
    <row r="33" spans="1:8">
      <c r="A33" s="581">
        <v>27</v>
      </c>
      <c r="B33" s="581" t="s">
        <v>1546</v>
      </c>
      <c r="C33" s="581">
        <v>1.6039000000000001</v>
      </c>
      <c r="D33" s="581">
        <v>0.37440000000000001</v>
      </c>
      <c r="E33" s="581">
        <v>6.4252000000000002</v>
      </c>
      <c r="F33" s="581">
        <v>1.0198</v>
      </c>
      <c r="G33" s="581">
        <v>1.5844</v>
      </c>
      <c r="H33" s="581">
        <v>2.0407999999999999</v>
      </c>
    </row>
    <row r="34" spans="1:8">
      <c r="A34" s="581">
        <v>28</v>
      </c>
      <c r="B34" s="581" t="s">
        <v>1547</v>
      </c>
      <c r="C34" s="581">
        <v>1.5923</v>
      </c>
      <c r="D34" s="581">
        <v>0.38540000000000002</v>
      </c>
      <c r="E34" s="581">
        <v>12.369400000000001</v>
      </c>
      <c r="F34" s="581">
        <v>1.0367</v>
      </c>
      <c r="G34" s="581">
        <v>1.4776</v>
      </c>
      <c r="H34" s="581">
        <v>1.3479000000000001</v>
      </c>
    </row>
    <row r="35" spans="1:8">
      <c r="A35" s="581">
        <v>29</v>
      </c>
      <c r="B35" s="581" t="s">
        <v>1548</v>
      </c>
      <c r="C35" s="581">
        <v>1.3581000000000001</v>
      </c>
      <c r="D35" s="581">
        <v>0.18</v>
      </c>
      <c r="E35" s="581">
        <v>3.6617000000000002</v>
      </c>
      <c r="F35" s="581">
        <v>0.57820000000000005</v>
      </c>
      <c r="G35" s="581">
        <v>1.8408</v>
      </c>
      <c r="H35" s="581">
        <v>2.2197</v>
      </c>
    </row>
    <row r="36" spans="1:8">
      <c r="A36" s="581">
        <v>30</v>
      </c>
      <c r="B36" s="581" t="s">
        <v>1549</v>
      </c>
      <c r="C36" s="581">
        <v>1.5746</v>
      </c>
      <c r="D36" s="581">
        <v>0.21079999999999999</v>
      </c>
      <c r="E36" s="581">
        <v>3.9296000000000002</v>
      </c>
      <c r="F36" s="581">
        <v>0.74819999999999998</v>
      </c>
      <c r="G36" s="581">
        <v>2.8347000000000002</v>
      </c>
      <c r="H36" s="581">
        <v>3.8917999999999999</v>
      </c>
    </row>
    <row r="37" spans="1:8">
      <c r="A37" s="581">
        <v>31</v>
      </c>
      <c r="B37" s="581" t="s">
        <v>1550</v>
      </c>
      <c r="C37" s="581">
        <v>1.4714</v>
      </c>
      <c r="D37" s="581">
        <v>0.26750000000000002</v>
      </c>
      <c r="E37" s="581">
        <v>4.2691999999999997</v>
      </c>
      <c r="F37" s="581">
        <v>0.6593</v>
      </c>
      <c r="G37" s="581">
        <v>1.6927000000000001</v>
      </c>
      <c r="H37" s="581">
        <v>2.5779999999999998</v>
      </c>
    </row>
    <row r="38" spans="1:8">
      <c r="A38" s="581">
        <v>32</v>
      </c>
      <c r="B38" s="581" t="s">
        <v>1551</v>
      </c>
      <c r="C38" s="581">
        <v>1.5557000000000001</v>
      </c>
      <c r="D38" s="581">
        <v>0.2913</v>
      </c>
      <c r="E38" s="581">
        <v>6.4808000000000003</v>
      </c>
      <c r="F38" s="581">
        <v>0.77559999999999996</v>
      </c>
      <c r="G38" s="581">
        <v>1.8097000000000001</v>
      </c>
      <c r="H38" s="581">
        <v>1.9571000000000001</v>
      </c>
    </row>
    <row r="39" spans="1:8">
      <c r="A39" s="581">
        <v>33</v>
      </c>
      <c r="B39" s="581" t="s">
        <v>1552</v>
      </c>
      <c r="C39" s="581">
        <v>1.6109</v>
      </c>
      <c r="D39" s="581">
        <v>0.51300000000000001</v>
      </c>
      <c r="E39" s="581">
        <v>18.896599999999999</v>
      </c>
      <c r="F39" s="581">
        <v>0.91779999999999995</v>
      </c>
      <c r="G39" s="581">
        <v>1.3738999999999999</v>
      </c>
      <c r="H39" s="581">
        <v>1.222</v>
      </c>
    </row>
    <row r="40" spans="1:8">
      <c r="A40" s="581">
        <v>34</v>
      </c>
      <c r="B40" s="581" t="s">
        <v>1553</v>
      </c>
      <c r="C40" s="581">
        <v>1.7657</v>
      </c>
      <c r="D40" s="581">
        <v>0.55169999999999997</v>
      </c>
      <c r="E40" s="581">
        <v>8.3743999999999996</v>
      </c>
      <c r="F40" s="581">
        <v>0.95479999999999998</v>
      </c>
      <c r="G40" s="581">
        <v>1.468</v>
      </c>
      <c r="H40" s="581">
        <v>2.0434999999999999</v>
      </c>
    </row>
    <row r="41" spans="1:8">
      <c r="A41" s="581">
        <v>35</v>
      </c>
      <c r="B41" s="581" t="s">
        <v>1554</v>
      </c>
      <c r="C41" s="581">
        <v>1.5595000000000001</v>
      </c>
      <c r="D41" s="581">
        <v>0.46560000000000001</v>
      </c>
      <c r="E41" s="581">
        <v>10.177</v>
      </c>
      <c r="F41" s="581">
        <v>1.0241</v>
      </c>
      <c r="G41" s="581">
        <v>1.3771</v>
      </c>
      <c r="H41" s="581">
        <v>1.4835</v>
      </c>
    </row>
    <row r="42" spans="1:8">
      <c r="A42" s="581">
        <v>36</v>
      </c>
      <c r="B42" s="581" t="s">
        <v>1555</v>
      </c>
      <c r="C42" s="581">
        <v>1.5048999999999999</v>
      </c>
      <c r="D42" s="581">
        <v>0.29680000000000001</v>
      </c>
      <c r="E42" s="581">
        <v>7.1361999999999997</v>
      </c>
      <c r="F42" s="581">
        <v>1.0087999999999999</v>
      </c>
      <c r="G42" s="581">
        <v>1.5496000000000001</v>
      </c>
      <c r="H42" s="581">
        <v>1.6264000000000001</v>
      </c>
    </row>
    <row r="43" spans="1:8">
      <c r="A43" s="581">
        <v>37</v>
      </c>
      <c r="B43" s="581" t="s">
        <v>1556</v>
      </c>
      <c r="C43" s="581">
        <v>1.7464</v>
      </c>
      <c r="D43" s="581">
        <v>0.34139999999999998</v>
      </c>
      <c r="E43" s="581">
        <v>6.5561999999999996</v>
      </c>
      <c r="F43" s="581">
        <v>0.89490000000000003</v>
      </c>
      <c r="G43" s="581">
        <v>1.9958</v>
      </c>
      <c r="H43" s="581">
        <v>2.6105999999999998</v>
      </c>
    </row>
    <row r="44" spans="1:8">
      <c r="A44" s="581">
        <v>38</v>
      </c>
      <c r="B44" s="581" t="s">
        <v>1557</v>
      </c>
      <c r="C44" s="581">
        <v>1.4968999999999999</v>
      </c>
      <c r="D44" s="581">
        <v>0.27450000000000002</v>
      </c>
      <c r="E44" s="581">
        <v>7.5627000000000004</v>
      </c>
      <c r="F44" s="581">
        <v>0.9032</v>
      </c>
      <c r="G44" s="581">
        <v>1.6424000000000001</v>
      </c>
      <c r="H44" s="581">
        <v>1.5617000000000001</v>
      </c>
    </row>
    <row r="45" spans="1:8">
      <c r="A45" s="581">
        <v>39</v>
      </c>
      <c r="B45" s="581" t="s">
        <v>1558</v>
      </c>
      <c r="C45" s="581">
        <v>1.6531</v>
      </c>
      <c r="D45" s="581">
        <v>0.41959999999999997</v>
      </c>
      <c r="E45" s="581">
        <v>6.2488999999999999</v>
      </c>
      <c r="F45" s="581">
        <v>0.83399999999999996</v>
      </c>
      <c r="G45" s="581">
        <v>1.5444</v>
      </c>
      <c r="H45" s="581">
        <v>2.5792999999999999</v>
      </c>
    </row>
    <row r="46" spans="1:8">
      <c r="A46" s="581">
        <v>40</v>
      </c>
      <c r="B46" s="581" t="s">
        <v>1559</v>
      </c>
      <c r="C46" s="581">
        <v>1.5649999999999999</v>
      </c>
      <c r="D46" s="581">
        <v>0.20150000000000001</v>
      </c>
      <c r="E46" s="581">
        <v>3.6385999999999998</v>
      </c>
      <c r="F46" s="581">
        <v>0.88870000000000005</v>
      </c>
      <c r="G46" s="581">
        <v>2.2783000000000002</v>
      </c>
      <c r="H46" s="581">
        <v>3.2565</v>
      </c>
    </row>
    <row r="47" spans="1:8">
      <c r="A47" s="581">
        <v>41</v>
      </c>
      <c r="B47" s="581" t="s">
        <v>1560</v>
      </c>
      <c r="C47" s="581">
        <v>1.6841999999999999</v>
      </c>
      <c r="D47" s="581">
        <v>0.2762</v>
      </c>
      <c r="E47" s="581">
        <v>5.0841000000000003</v>
      </c>
      <c r="F47" s="581">
        <v>0.89290000000000003</v>
      </c>
      <c r="G47" s="581">
        <v>2.1827000000000001</v>
      </c>
      <c r="H47" s="581">
        <v>3.3475000000000001</v>
      </c>
    </row>
    <row r="48" spans="1:8">
      <c r="A48" s="581">
        <v>42</v>
      </c>
      <c r="B48" s="581" t="s">
        <v>1561</v>
      </c>
      <c r="C48" s="581">
        <v>1.7919</v>
      </c>
      <c r="D48" s="581">
        <v>0.33279999999999998</v>
      </c>
      <c r="E48" s="581">
        <v>6.4154999999999998</v>
      </c>
      <c r="F48" s="581">
        <v>0.96540000000000004</v>
      </c>
      <c r="G48" s="581">
        <v>2.3010000000000002</v>
      </c>
      <c r="H48" s="581">
        <v>2.9106000000000001</v>
      </c>
    </row>
    <row r="49" spans="1:8">
      <c r="A49" s="581">
        <v>43</v>
      </c>
      <c r="B49" s="581" t="s">
        <v>1562</v>
      </c>
      <c r="C49" s="581">
        <v>1.919</v>
      </c>
      <c r="D49" s="581">
        <v>0.60599999999999998</v>
      </c>
      <c r="E49" s="581">
        <v>10.366099999999999</v>
      </c>
      <c r="F49" s="581">
        <v>1.0908</v>
      </c>
      <c r="G49" s="581">
        <v>1.5244</v>
      </c>
      <c r="H49" s="581">
        <v>1.9056</v>
      </c>
    </row>
    <row r="50" spans="1:8">
      <c r="A50" s="581">
        <v>44</v>
      </c>
      <c r="B50" s="581" t="s">
        <v>1563</v>
      </c>
      <c r="C50" s="581">
        <v>1.6465000000000001</v>
      </c>
      <c r="D50" s="581">
        <v>0.33939999999999998</v>
      </c>
      <c r="E50" s="581">
        <v>5.6125999999999996</v>
      </c>
      <c r="F50" s="581">
        <v>1.0729</v>
      </c>
      <c r="G50" s="581">
        <v>1.7082999999999999</v>
      </c>
      <c r="H50" s="581">
        <v>2.1356999999999999</v>
      </c>
    </row>
    <row r="51" spans="1:8">
      <c r="A51" s="581">
        <v>45</v>
      </c>
      <c r="B51" s="581" t="s">
        <v>1564</v>
      </c>
      <c r="C51" s="581">
        <v>2.1078999999999999</v>
      </c>
      <c r="D51" s="581">
        <v>0.4657</v>
      </c>
      <c r="E51" s="581">
        <v>7.4084000000000003</v>
      </c>
      <c r="F51" s="581">
        <v>1.0848</v>
      </c>
      <c r="G51" s="581">
        <v>2.9750999999999999</v>
      </c>
      <c r="H51" s="581">
        <v>4.6833</v>
      </c>
    </row>
    <row r="52" spans="1:8">
      <c r="A52" s="581">
        <v>46</v>
      </c>
      <c r="B52" s="581" t="s">
        <v>1565</v>
      </c>
      <c r="C52" s="581">
        <v>1.4084000000000001</v>
      </c>
      <c r="D52" s="581">
        <v>0.12330000000000001</v>
      </c>
      <c r="E52" s="581">
        <v>5.9151999999999996</v>
      </c>
      <c r="F52" s="581">
        <v>0.93899999999999995</v>
      </c>
      <c r="G52" s="581">
        <v>2.7524999999999999</v>
      </c>
      <c r="H52" s="581">
        <v>1.4878</v>
      </c>
    </row>
    <row r="53" spans="1:8">
      <c r="A53" s="581">
        <v>47</v>
      </c>
      <c r="B53" s="581" t="s">
        <v>1566</v>
      </c>
      <c r="C53" s="581">
        <v>1.4653</v>
      </c>
      <c r="D53" s="581">
        <v>0.2112</v>
      </c>
      <c r="E53" s="581">
        <v>4.0407000000000002</v>
      </c>
      <c r="F53" s="581">
        <v>0.93230000000000002</v>
      </c>
      <c r="G53" s="581">
        <v>1.9232</v>
      </c>
      <c r="H53" s="581">
        <v>2.4312</v>
      </c>
    </row>
    <row r="54" spans="1:8">
      <c r="A54" s="581">
        <v>48</v>
      </c>
      <c r="B54" s="581" t="s">
        <v>1567</v>
      </c>
      <c r="C54" s="581">
        <v>1.7502</v>
      </c>
      <c r="D54" s="581">
        <v>0.51229999999999998</v>
      </c>
      <c r="E54" s="581">
        <v>9.1590000000000007</v>
      </c>
      <c r="F54" s="581">
        <v>1.1354</v>
      </c>
      <c r="G54" s="581">
        <v>1.5029999999999999</v>
      </c>
      <c r="H54" s="581">
        <v>1.8813</v>
      </c>
    </row>
    <row r="55" spans="1:8">
      <c r="A55" s="581">
        <v>49</v>
      </c>
      <c r="B55" s="581" t="s">
        <v>1568</v>
      </c>
      <c r="C55" s="581">
        <v>1.7902</v>
      </c>
      <c r="D55" s="581">
        <v>0.56540000000000001</v>
      </c>
      <c r="E55" s="581">
        <v>7.5030000000000001</v>
      </c>
      <c r="F55" s="581">
        <v>1.1322000000000001</v>
      </c>
      <c r="G55" s="581">
        <v>1.4653</v>
      </c>
      <c r="H55" s="581">
        <v>2.3487</v>
      </c>
    </row>
    <row r="56" spans="1:8">
      <c r="A56" s="581">
        <v>50</v>
      </c>
      <c r="B56" s="581" t="s">
        <v>1569</v>
      </c>
      <c r="C56" s="581">
        <v>1.6754</v>
      </c>
      <c r="D56" s="581">
        <v>0.4728</v>
      </c>
      <c r="E56" s="581">
        <v>15.941800000000001</v>
      </c>
      <c r="F56" s="581">
        <v>1.0533999999999999</v>
      </c>
      <c r="G56" s="581">
        <v>1.4798</v>
      </c>
      <c r="H56" s="581">
        <v>1.3237000000000001</v>
      </c>
    </row>
    <row r="57" spans="1:8">
      <c r="A57" s="581">
        <v>51</v>
      </c>
      <c r="B57" s="581" t="s">
        <v>1570</v>
      </c>
      <c r="C57" s="581">
        <v>1.7563</v>
      </c>
      <c r="D57" s="581">
        <v>0.43309999999999998</v>
      </c>
      <c r="E57" s="581">
        <v>8.5304000000000002</v>
      </c>
      <c r="F57" s="581">
        <v>0.97170000000000001</v>
      </c>
      <c r="G57" s="581">
        <v>1.6800999999999999</v>
      </c>
      <c r="H57" s="581">
        <v>1.9319999999999999</v>
      </c>
    </row>
    <row r="58" spans="1:8">
      <c r="A58" s="581">
        <v>52</v>
      </c>
      <c r="B58" s="581" t="s">
        <v>1571</v>
      </c>
      <c r="C58" s="581">
        <v>1.7534000000000001</v>
      </c>
      <c r="D58" s="581">
        <v>0.58679999999999999</v>
      </c>
      <c r="E58" s="581">
        <v>19.088899999999999</v>
      </c>
      <c r="F58" s="581">
        <v>1.1116999999999999</v>
      </c>
      <c r="G58" s="581">
        <v>1.3687</v>
      </c>
      <c r="H58" s="581">
        <v>1.2807999999999999</v>
      </c>
    </row>
    <row r="59" spans="1:8">
      <c r="A59" s="581">
        <v>53</v>
      </c>
      <c r="B59" s="581" t="s">
        <v>1572</v>
      </c>
      <c r="C59" s="581">
        <v>1.8257000000000001</v>
      </c>
      <c r="D59" s="581">
        <v>0.58840000000000003</v>
      </c>
      <c r="E59" s="581">
        <v>11.4985</v>
      </c>
      <c r="F59" s="581">
        <v>1.1382000000000001</v>
      </c>
      <c r="G59" s="581">
        <v>1.4590000000000001</v>
      </c>
      <c r="H59" s="581">
        <v>1.6749000000000001</v>
      </c>
    </row>
    <row r="60" spans="1:8">
      <c r="A60" s="581">
        <v>54</v>
      </c>
      <c r="B60" s="581" t="s">
        <v>1573</v>
      </c>
      <c r="C60" s="581">
        <v>1.8438000000000001</v>
      </c>
      <c r="D60" s="581">
        <v>0.501</v>
      </c>
      <c r="E60" s="581">
        <v>10.4358</v>
      </c>
      <c r="F60" s="581">
        <v>1.0528999999999999</v>
      </c>
      <c r="G60" s="581">
        <v>1.5274000000000001</v>
      </c>
      <c r="H60" s="581">
        <v>1.7518</v>
      </c>
    </row>
    <row r="61" spans="1:8">
      <c r="A61" s="581">
        <v>55</v>
      </c>
      <c r="B61" s="581" t="s">
        <v>1574</v>
      </c>
      <c r="C61" s="581">
        <v>1.7369000000000001</v>
      </c>
      <c r="D61" s="581">
        <v>0.54810000000000003</v>
      </c>
      <c r="E61" s="581">
        <v>16.153300000000002</v>
      </c>
      <c r="F61" s="581">
        <v>1.1255999999999999</v>
      </c>
      <c r="G61" s="581">
        <v>1.4052</v>
      </c>
      <c r="H61" s="581">
        <v>1.3436999999999999</v>
      </c>
    </row>
    <row r="62" spans="1:8">
      <c r="A62" s="581">
        <v>56</v>
      </c>
      <c r="B62" s="581" t="s">
        <v>1575</v>
      </c>
      <c r="C62" s="581">
        <v>1.7512000000000001</v>
      </c>
      <c r="D62" s="581">
        <v>0.51849999999999996</v>
      </c>
      <c r="E62" s="581">
        <v>20.4175</v>
      </c>
      <c r="F62" s="581">
        <v>1.0984</v>
      </c>
      <c r="G62" s="581">
        <v>1.4612000000000001</v>
      </c>
      <c r="H62" s="581">
        <v>1.2609999999999999</v>
      </c>
    </row>
    <row r="63" spans="1:8">
      <c r="A63" s="581">
        <v>57</v>
      </c>
      <c r="B63" s="581" t="s">
        <v>1576</v>
      </c>
      <c r="C63" s="581">
        <v>1.7799</v>
      </c>
      <c r="D63" s="581">
        <v>0.50639999999999996</v>
      </c>
      <c r="E63" s="581">
        <v>16.5534</v>
      </c>
      <c r="F63" s="581">
        <v>1.0841000000000001</v>
      </c>
      <c r="G63" s="581">
        <v>1.5474000000000001</v>
      </c>
      <c r="H63" s="581">
        <v>1.4029</v>
      </c>
    </row>
    <row r="64" spans="1:8">
      <c r="A64" s="581">
        <v>58</v>
      </c>
      <c r="B64" s="581" t="s">
        <v>1577</v>
      </c>
      <c r="C64" s="581">
        <v>1.6364000000000001</v>
      </c>
      <c r="D64" s="581">
        <v>0.41959999999999997</v>
      </c>
      <c r="E64" s="581">
        <v>18.423100000000002</v>
      </c>
      <c r="F64" s="581">
        <v>1.0448</v>
      </c>
      <c r="G64" s="581">
        <v>1.4674</v>
      </c>
      <c r="H64" s="581">
        <v>1.2267999999999999</v>
      </c>
    </row>
    <row r="65" spans="1:8">
      <c r="A65" s="581">
        <v>59</v>
      </c>
      <c r="B65" s="581" t="s">
        <v>1578</v>
      </c>
      <c r="C65" s="581">
        <v>1.7237</v>
      </c>
      <c r="D65" s="581">
        <v>0.40770000000000001</v>
      </c>
      <c r="E65" s="581">
        <v>10.616300000000001</v>
      </c>
      <c r="F65" s="581">
        <v>0.98899999999999999</v>
      </c>
      <c r="G65" s="581">
        <v>1.6653</v>
      </c>
      <c r="H65" s="581">
        <v>1.6015999999999999</v>
      </c>
    </row>
    <row r="66" spans="1:8">
      <c r="A66" s="581">
        <v>60</v>
      </c>
      <c r="B66" s="581" t="s">
        <v>1579</v>
      </c>
      <c r="C66" s="581">
        <v>1.6445000000000001</v>
      </c>
      <c r="D66" s="581">
        <v>0.39489999999999997</v>
      </c>
      <c r="E66" s="581">
        <v>17.364899999999999</v>
      </c>
      <c r="F66" s="581">
        <v>0.93149999999999999</v>
      </c>
      <c r="G66" s="581">
        <v>1.5215000000000001</v>
      </c>
      <c r="H66" s="581">
        <v>1.2391000000000001</v>
      </c>
    </row>
    <row r="67" spans="1:8">
      <c r="A67" s="581">
        <v>61</v>
      </c>
      <c r="B67" s="581" t="s">
        <v>1580</v>
      </c>
      <c r="C67" s="581">
        <v>1.8119000000000001</v>
      </c>
      <c r="D67" s="581">
        <v>0.48370000000000002</v>
      </c>
      <c r="E67" s="581">
        <v>12.1084</v>
      </c>
      <c r="F67" s="581">
        <v>1.0484</v>
      </c>
      <c r="G67" s="581">
        <v>1.5939000000000001</v>
      </c>
      <c r="H67" s="581">
        <v>1.5731999999999999</v>
      </c>
    </row>
    <row r="68" spans="1:8">
      <c r="A68" s="581">
        <v>62</v>
      </c>
      <c r="B68" s="581" t="s">
        <v>1581</v>
      </c>
      <c r="C68" s="581">
        <v>0.99629999999999996</v>
      </c>
      <c r="D68" s="581">
        <v>0.22259999999999999</v>
      </c>
      <c r="E68" s="581">
        <v>6.0689000000000002</v>
      </c>
      <c r="F68" s="581">
        <v>0.61160000000000003</v>
      </c>
      <c r="G68" s="581">
        <v>0</v>
      </c>
      <c r="H68" s="581">
        <v>0</v>
      </c>
    </row>
    <row r="70" spans="1:8">
      <c r="C70" s="581">
        <f>SUM(C6:C68)</f>
        <v>98.213999999999984</v>
      </c>
      <c r="D70" s="581">
        <f t="shared" ref="D70:H70" si="0">SUM(D6:D68)</f>
        <v>20.960399999999993</v>
      </c>
      <c r="E70" s="581">
        <f t="shared" si="0"/>
        <v>502.95589999999999</v>
      </c>
      <c r="F70" s="581">
        <f t="shared" si="0"/>
        <v>52.432599999999979</v>
      </c>
      <c r="G70" s="581">
        <f t="shared" si="0"/>
        <v>107.62649999999998</v>
      </c>
      <c r="H70" s="581">
        <f t="shared" si="0"/>
        <v>122.61879999999999</v>
      </c>
    </row>
    <row r="71" spans="1:8">
      <c r="C71" s="581">
        <f>C70-SUM(monmouth!B2:B63)</f>
        <v>-0.15440000000002385</v>
      </c>
      <c r="D71" s="581">
        <f>D70-SUM(monmouth!C2:C63)</f>
        <v>-0.15410000000000679</v>
      </c>
      <c r="E71" s="581">
        <f>E70-SUM(monmouth!D2:D63)</f>
        <v>-20.019600000000025</v>
      </c>
      <c r="F71" s="581">
        <f>F70-SUM(monmouth!E2:E63)</f>
        <v>-1.0821000000000041</v>
      </c>
      <c r="G71" s="581">
        <f>G70-SUM(monmouth!F2:F63)</f>
        <v>2.1319000000000159</v>
      </c>
      <c r="H71" s="581">
        <f>H70-SUM(monmouth!G2:G63)</f>
        <v>6.828199999999967</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H71"/>
  <sheetViews>
    <sheetView topLeftCell="A42" workbookViewId="0">
      <selection activeCell="L66" sqref="L66"/>
    </sheetView>
  </sheetViews>
  <sheetFormatPr defaultColWidth="9.109375" defaultRowHeight="14.4"/>
  <cols>
    <col min="1" max="16384" width="9.109375" style="581"/>
  </cols>
  <sheetData>
    <row r="1" spans="1:8">
      <c r="A1" s="581" t="s">
        <v>1513</v>
      </c>
    </row>
    <row r="2" spans="1:8">
      <c r="A2" s="581" t="s">
        <v>1593</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1.3782000000000001</v>
      </c>
      <c r="D7" s="581">
        <v>0.2586</v>
      </c>
      <c r="E7" s="581">
        <v>11.061</v>
      </c>
      <c r="F7" s="581">
        <v>0.61939999999999995</v>
      </c>
      <c r="G7" s="581">
        <v>1.2704</v>
      </c>
      <c r="H7" s="581">
        <v>1.1402000000000001</v>
      </c>
    </row>
    <row r="8" spans="1:8">
      <c r="A8" s="581">
        <v>2</v>
      </c>
      <c r="B8" s="581" t="s">
        <v>1521</v>
      </c>
      <c r="C8" s="581">
        <v>1.5442</v>
      </c>
      <c r="D8" s="581">
        <v>0.50309999999999999</v>
      </c>
      <c r="E8" s="581">
        <v>21.9238</v>
      </c>
      <c r="F8" s="581">
        <v>0.98550000000000004</v>
      </c>
      <c r="G8" s="581">
        <v>1.1916</v>
      </c>
      <c r="H8" s="581">
        <v>1.0984</v>
      </c>
    </row>
    <row r="9" spans="1:8">
      <c r="A9" s="581">
        <v>3</v>
      </c>
      <c r="B9" s="581" t="s">
        <v>1522</v>
      </c>
      <c r="C9" s="581">
        <v>1</v>
      </c>
      <c r="D9" s="581">
        <v>0</v>
      </c>
      <c r="E9" s="581">
        <v>0</v>
      </c>
      <c r="F9" s="581">
        <v>0</v>
      </c>
      <c r="G9" s="581">
        <v>0</v>
      </c>
      <c r="H9" s="581">
        <v>0</v>
      </c>
    </row>
    <row r="10" spans="1:8">
      <c r="A10" s="581">
        <v>4</v>
      </c>
      <c r="B10" s="581" t="s">
        <v>1523</v>
      </c>
      <c r="C10" s="581">
        <v>1.4665999999999999</v>
      </c>
      <c r="D10" s="581">
        <v>0.14319999999999999</v>
      </c>
      <c r="E10" s="581">
        <v>2.4767999999999999</v>
      </c>
      <c r="F10" s="581">
        <v>0.7913</v>
      </c>
      <c r="G10" s="581">
        <v>1.9794</v>
      </c>
      <c r="H10" s="581">
        <v>2.2553999999999998</v>
      </c>
    </row>
    <row r="11" spans="1:8">
      <c r="A11" s="581">
        <v>5</v>
      </c>
      <c r="B11" s="581" t="s">
        <v>1524</v>
      </c>
      <c r="C11" s="581">
        <v>1</v>
      </c>
      <c r="D11" s="581">
        <v>0</v>
      </c>
      <c r="E11" s="581">
        <v>0</v>
      </c>
      <c r="F11" s="581">
        <v>0</v>
      </c>
      <c r="G11" s="581">
        <v>0</v>
      </c>
      <c r="H11" s="581">
        <v>0</v>
      </c>
    </row>
    <row r="12" spans="1:8">
      <c r="A12" s="581">
        <v>6</v>
      </c>
      <c r="B12" s="581" t="s">
        <v>1525</v>
      </c>
      <c r="C12" s="581">
        <v>1.1680999999999999</v>
      </c>
      <c r="D12" s="581">
        <v>8.5999999999999993E-2</v>
      </c>
      <c r="E12" s="581">
        <v>1.1752</v>
      </c>
      <c r="F12" s="581">
        <v>0.67669999999999997</v>
      </c>
      <c r="G12" s="581">
        <v>1.4550000000000001</v>
      </c>
      <c r="H12" s="581">
        <v>2.1314000000000002</v>
      </c>
    </row>
    <row r="13" spans="1:8">
      <c r="A13" s="581">
        <v>7</v>
      </c>
      <c r="B13" s="581" t="s">
        <v>1526</v>
      </c>
      <c r="C13" s="581">
        <v>1.5351999999999999</v>
      </c>
      <c r="D13" s="581">
        <v>0.25319999999999998</v>
      </c>
      <c r="E13" s="581">
        <v>5.1669</v>
      </c>
      <c r="F13" s="581">
        <v>0.81979999999999997</v>
      </c>
      <c r="G13" s="581">
        <v>1.4783999999999999</v>
      </c>
      <c r="H13" s="581">
        <v>1.58</v>
      </c>
    </row>
    <row r="14" spans="1:8">
      <c r="A14" s="581">
        <v>8</v>
      </c>
      <c r="B14" s="581" t="s">
        <v>1527</v>
      </c>
      <c r="C14" s="581">
        <v>1.4990000000000001</v>
      </c>
      <c r="D14" s="581">
        <v>0.22120000000000001</v>
      </c>
      <c r="E14" s="581">
        <v>5.3032000000000004</v>
      </c>
      <c r="F14" s="581">
        <v>0.57920000000000005</v>
      </c>
      <c r="G14" s="581">
        <v>1.5359</v>
      </c>
      <c r="H14" s="581">
        <v>1.4442999999999999</v>
      </c>
    </row>
    <row r="15" spans="1:8">
      <c r="A15" s="581">
        <v>9</v>
      </c>
      <c r="B15" s="581" t="s">
        <v>1528</v>
      </c>
      <c r="C15" s="581">
        <v>1.5358000000000001</v>
      </c>
      <c r="D15" s="581">
        <v>0.13200000000000001</v>
      </c>
      <c r="E15" s="581">
        <v>2.5714000000000001</v>
      </c>
      <c r="F15" s="581">
        <v>0.67949999999999999</v>
      </c>
      <c r="G15" s="581">
        <v>2.2810000000000001</v>
      </c>
      <c r="H15" s="581">
        <v>2.3792</v>
      </c>
    </row>
    <row r="16" spans="1:8">
      <c r="A16" s="581">
        <v>10</v>
      </c>
      <c r="B16" s="581" t="s">
        <v>1529</v>
      </c>
      <c r="C16" s="581">
        <v>1.3977999999999999</v>
      </c>
      <c r="D16" s="581">
        <v>0.1226</v>
      </c>
      <c r="E16" s="581">
        <v>2.2223000000000002</v>
      </c>
      <c r="F16" s="581">
        <v>0.45839999999999997</v>
      </c>
      <c r="G16" s="581">
        <v>1.91</v>
      </c>
      <c r="H16" s="581">
        <v>2.1105999999999998</v>
      </c>
    </row>
    <row r="17" spans="1:8">
      <c r="A17" s="581">
        <v>11</v>
      </c>
      <c r="B17" s="581" t="s">
        <v>1530</v>
      </c>
      <c r="C17" s="581">
        <v>1.4722</v>
      </c>
      <c r="D17" s="581">
        <v>0.17230000000000001</v>
      </c>
      <c r="E17" s="581">
        <v>3.4456000000000002</v>
      </c>
      <c r="F17" s="581">
        <v>0.6714</v>
      </c>
      <c r="G17" s="581">
        <v>1.6671</v>
      </c>
      <c r="H17" s="581">
        <v>1.7441</v>
      </c>
    </row>
    <row r="18" spans="1:8">
      <c r="A18" s="581">
        <v>12</v>
      </c>
      <c r="B18" s="581" t="s">
        <v>1531</v>
      </c>
      <c r="C18" s="581">
        <v>1.516</v>
      </c>
      <c r="D18" s="581">
        <v>0.1724</v>
      </c>
      <c r="E18" s="581">
        <v>3.0268000000000002</v>
      </c>
      <c r="F18" s="581">
        <v>0.64970000000000006</v>
      </c>
      <c r="G18" s="581">
        <v>1.7929999999999999</v>
      </c>
      <c r="H18" s="581">
        <v>1.9967999999999999</v>
      </c>
    </row>
    <row r="19" spans="1:8">
      <c r="A19" s="581">
        <v>13</v>
      </c>
      <c r="B19" s="581" t="s">
        <v>1532</v>
      </c>
      <c r="C19" s="581">
        <v>1.6321000000000001</v>
      </c>
      <c r="D19" s="581">
        <v>0.22120000000000001</v>
      </c>
      <c r="E19" s="581">
        <v>3.4249000000000001</v>
      </c>
      <c r="F19" s="581">
        <v>0.87280000000000002</v>
      </c>
      <c r="G19" s="581">
        <v>1.7685999999999999</v>
      </c>
      <c r="H19" s="581">
        <v>2.2023000000000001</v>
      </c>
    </row>
    <row r="20" spans="1:8">
      <c r="A20" s="581">
        <v>14</v>
      </c>
      <c r="B20" s="581" t="s">
        <v>1533</v>
      </c>
      <c r="C20" s="581">
        <v>1.4181999999999999</v>
      </c>
      <c r="D20" s="581">
        <v>0.16800000000000001</v>
      </c>
      <c r="E20" s="581">
        <v>3.1067999999999998</v>
      </c>
      <c r="F20" s="581">
        <v>0.66849999999999998</v>
      </c>
      <c r="G20" s="581">
        <v>1.5851999999999999</v>
      </c>
      <c r="H20" s="581">
        <v>1.6483000000000001</v>
      </c>
    </row>
    <row r="21" spans="1:8">
      <c r="A21" s="581">
        <v>15</v>
      </c>
      <c r="B21" s="581" t="s">
        <v>1534</v>
      </c>
      <c r="C21" s="581">
        <v>1.4439</v>
      </c>
      <c r="D21" s="581">
        <v>0.1658</v>
      </c>
      <c r="E21" s="581">
        <v>2.9923999999999999</v>
      </c>
      <c r="F21" s="581">
        <v>0.47849999999999998</v>
      </c>
      <c r="G21" s="581">
        <v>1.6813</v>
      </c>
      <c r="H21" s="581">
        <v>1.8090999999999999</v>
      </c>
    </row>
    <row r="22" spans="1:8">
      <c r="A22" s="581">
        <v>16</v>
      </c>
      <c r="B22" s="581" t="s">
        <v>1535</v>
      </c>
      <c r="C22" s="581">
        <v>1.7234</v>
      </c>
      <c r="D22" s="581">
        <v>0.189</v>
      </c>
      <c r="E22" s="581">
        <v>3.6596000000000002</v>
      </c>
      <c r="F22" s="581">
        <v>0.72950000000000004</v>
      </c>
      <c r="G22" s="581">
        <v>2.2143000000000002</v>
      </c>
      <c r="H22" s="581">
        <v>2.2612999999999999</v>
      </c>
    </row>
    <row r="23" spans="1:8">
      <c r="A23" s="581">
        <v>17</v>
      </c>
      <c r="B23" s="581" t="s">
        <v>1536</v>
      </c>
      <c r="C23" s="581">
        <v>1.5152000000000001</v>
      </c>
      <c r="D23" s="581">
        <v>0.18490000000000001</v>
      </c>
      <c r="E23" s="581">
        <v>4.1257000000000001</v>
      </c>
      <c r="F23" s="581">
        <v>0.70379999999999998</v>
      </c>
      <c r="G23" s="581">
        <v>1.7079</v>
      </c>
      <c r="H23" s="581">
        <v>1.6698</v>
      </c>
    </row>
    <row r="24" spans="1:8">
      <c r="A24" s="581">
        <v>18</v>
      </c>
      <c r="B24" s="581" t="s">
        <v>1537</v>
      </c>
      <c r="C24" s="581">
        <v>1.4802</v>
      </c>
      <c r="D24" s="581">
        <v>0.17399999999999999</v>
      </c>
      <c r="E24" s="581">
        <v>3.1128999999999998</v>
      </c>
      <c r="F24" s="581">
        <v>0.79710000000000003</v>
      </c>
      <c r="G24" s="581">
        <v>1.6696</v>
      </c>
      <c r="H24" s="581">
        <v>1.8879999999999999</v>
      </c>
    </row>
    <row r="25" spans="1:8">
      <c r="A25" s="581">
        <v>19</v>
      </c>
      <c r="B25" s="581" t="s">
        <v>1538</v>
      </c>
      <c r="C25" s="581">
        <v>1.4956</v>
      </c>
      <c r="D25" s="581">
        <v>0.13489999999999999</v>
      </c>
      <c r="E25" s="581">
        <v>2.8048999999999999</v>
      </c>
      <c r="F25" s="581">
        <v>0.52959999999999996</v>
      </c>
      <c r="G25" s="581">
        <v>2.1730999999999998</v>
      </c>
      <c r="H25" s="581">
        <v>2.0678999999999998</v>
      </c>
    </row>
    <row r="26" spans="1:8">
      <c r="A26" s="581">
        <v>20</v>
      </c>
      <c r="B26" s="581" t="s">
        <v>1539</v>
      </c>
      <c r="C26" s="581">
        <v>1.3729</v>
      </c>
      <c r="D26" s="581">
        <v>9.8400000000000001E-2</v>
      </c>
      <c r="E26" s="581">
        <v>2.1109</v>
      </c>
      <c r="F26" s="581">
        <v>0.50819999999999999</v>
      </c>
      <c r="G26" s="581">
        <v>2.2740999999999998</v>
      </c>
      <c r="H26" s="581">
        <v>2.0388000000000002</v>
      </c>
    </row>
    <row r="27" spans="1:8">
      <c r="A27" s="581">
        <v>21</v>
      </c>
      <c r="B27" s="581" t="s">
        <v>1540</v>
      </c>
      <c r="C27" s="581">
        <v>1.5983000000000001</v>
      </c>
      <c r="D27" s="581">
        <v>0.18540000000000001</v>
      </c>
      <c r="E27" s="581">
        <v>4.4813000000000001</v>
      </c>
      <c r="F27" s="581">
        <v>0.77229999999999999</v>
      </c>
      <c r="G27" s="581">
        <v>2.0236999999999998</v>
      </c>
      <c r="H27" s="581">
        <v>1.8261000000000001</v>
      </c>
    </row>
    <row r="28" spans="1:8">
      <c r="A28" s="581">
        <v>22</v>
      </c>
      <c r="B28" s="581" t="s">
        <v>1541</v>
      </c>
      <c r="C28" s="581">
        <v>1.4200999999999999</v>
      </c>
      <c r="D28" s="581">
        <v>0.14549999999999999</v>
      </c>
      <c r="E28" s="581">
        <v>2.5533999999999999</v>
      </c>
      <c r="F28" s="581">
        <v>0.59970000000000001</v>
      </c>
      <c r="G28" s="581">
        <v>1.7361</v>
      </c>
      <c r="H28" s="581">
        <v>1.9360999999999999</v>
      </c>
    </row>
    <row r="29" spans="1:8">
      <c r="A29" s="581">
        <v>23</v>
      </c>
      <c r="B29" s="581" t="s">
        <v>1542</v>
      </c>
      <c r="C29" s="581">
        <v>1.6748000000000001</v>
      </c>
      <c r="D29" s="581">
        <v>0.24529999999999999</v>
      </c>
      <c r="E29" s="581">
        <v>5.0503999999999998</v>
      </c>
      <c r="F29" s="581">
        <v>0.76180000000000003</v>
      </c>
      <c r="G29" s="581">
        <v>1.7034</v>
      </c>
      <c r="H29" s="581">
        <v>1.7838000000000001</v>
      </c>
    </row>
    <row r="30" spans="1:8">
      <c r="A30" s="581">
        <v>24</v>
      </c>
      <c r="B30" s="581" t="s">
        <v>1543</v>
      </c>
      <c r="C30" s="581">
        <v>1.1108</v>
      </c>
      <c r="D30" s="581">
        <v>7.2999999999999995E-2</v>
      </c>
      <c r="E30" s="581">
        <v>0.95599999999999996</v>
      </c>
      <c r="F30" s="581">
        <v>0.2732</v>
      </c>
      <c r="G30" s="581">
        <v>1.3023</v>
      </c>
      <c r="H30" s="581">
        <v>1.6224000000000001</v>
      </c>
    </row>
    <row r="31" spans="1:8">
      <c r="A31" s="581">
        <v>25</v>
      </c>
      <c r="B31" s="581" t="s">
        <v>1544</v>
      </c>
      <c r="C31" s="581">
        <v>1.4723999999999999</v>
      </c>
      <c r="D31" s="581">
        <v>0.15060000000000001</v>
      </c>
      <c r="E31" s="581">
        <v>2.0344000000000002</v>
      </c>
      <c r="F31" s="581">
        <v>0.59740000000000004</v>
      </c>
      <c r="G31" s="581">
        <v>1.877</v>
      </c>
      <c r="H31" s="581">
        <v>2.6837</v>
      </c>
    </row>
    <row r="32" spans="1:8">
      <c r="A32" s="581">
        <v>26</v>
      </c>
      <c r="B32" s="581" t="s">
        <v>1545</v>
      </c>
      <c r="C32" s="581">
        <v>1.4259999999999999</v>
      </c>
      <c r="D32" s="581">
        <v>0.13750000000000001</v>
      </c>
      <c r="E32" s="581">
        <v>2.7462</v>
      </c>
      <c r="F32" s="581">
        <v>0.56630000000000003</v>
      </c>
      <c r="G32" s="581">
        <v>1.8008999999999999</v>
      </c>
      <c r="H32" s="581">
        <v>1.8223</v>
      </c>
    </row>
    <row r="33" spans="1:8">
      <c r="A33" s="581">
        <v>27</v>
      </c>
      <c r="B33" s="581" t="s">
        <v>1546</v>
      </c>
      <c r="C33" s="581">
        <v>1.5438000000000001</v>
      </c>
      <c r="D33" s="581">
        <v>0.24379999999999999</v>
      </c>
      <c r="E33" s="581">
        <v>4.0461999999999998</v>
      </c>
      <c r="F33" s="581">
        <v>0.98409999999999997</v>
      </c>
      <c r="G33" s="581">
        <v>1.5362</v>
      </c>
      <c r="H33" s="581">
        <v>1.9135</v>
      </c>
    </row>
    <row r="34" spans="1:8">
      <c r="A34" s="581">
        <v>28</v>
      </c>
      <c r="B34" s="581" t="s">
        <v>1547</v>
      </c>
      <c r="C34" s="581">
        <v>1.5089999999999999</v>
      </c>
      <c r="D34" s="581">
        <v>0.2482</v>
      </c>
      <c r="E34" s="581">
        <v>8.0021000000000004</v>
      </c>
      <c r="F34" s="581">
        <v>0.98650000000000004</v>
      </c>
      <c r="G34" s="581">
        <v>1.4132</v>
      </c>
      <c r="H34" s="581">
        <v>1.2948999999999999</v>
      </c>
    </row>
    <row r="35" spans="1:8">
      <c r="A35" s="581">
        <v>29</v>
      </c>
      <c r="B35" s="581" t="s">
        <v>1548</v>
      </c>
      <c r="C35" s="581">
        <v>1.3147</v>
      </c>
      <c r="D35" s="581">
        <v>0.1004</v>
      </c>
      <c r="E35" s="581">
        <v>2.012</v>
      </c>
      <c r="F35" s="581">
        <v>0.55269999999999997</v>
      </c>
      <c r="G35" s="581">
        <v>1.859</v>
      </c>
      <c r="H35" s="581">
        <v>2.2073</v>
      </c>
    </row>
    <row r="36" spans="1:8">
      <c r="A36" s="581">
        <v>30</v>
      </c>
      <c r="B36" s="581" t="s">
        <v>1549</v>
      </c>
      <c r="C36" s="581">
        <v>1.5571999999999999</v>
      </c>
      <c r="D36" s="581">
        <v>0.19120000000000001</v>
      </c>
      <c r="E36" s="581">
        <v>3.2761999999999998</v>
      </c>
      <c r="F36" s="581">
        <v>0.73909999999999998</v>
      </c>
      <c r="G36" s="581">
        <v>1.8411999999999999</v>
      </c>
      <c r="H36" s="581">
        <v>2.3233000000000001</v>
      </c>
    </row>
    <row r="37" spans="1:8">
      <c r="A37" s="581">
        <v>31</v>
      </c>
      <c r="B37" s="581" t="s">
        <v>1550</v>
      </c>
      <c r="C37" s="581">
        <v>1.3454999999999999</v>
      </c>
      <c r="D37" s="581">
        <v>8.6900000000000005E-2</v>
      </c>
      <c r="E37" s="581">
        <v>1.5447</v>
      </c>
      <c r="F37" s="581">
        <v>0.58530000000000004</v>
      </c>
      <c r="G37" s="581">
        <v>2.5398999999999998</v>
      </c>
      <c r="H37" s="581">
        <v>4.3087</v>
      </c>
    </row>
    <row r="38" spans="1:8">
      <c r="A38" s="581">
        <v>32</v>
      </c>
      <c r="B38" s="581" t="s">
        <v>1551</v>
      </c>
      <c r="C38" s="581">
        <v>1.5249999999999999</v>
      </c>
      <c r="D38" s="581">
        <v>0.19969999999999999</v>
      </c>
      <c r="E38" s="581">
        <v>4.4044999999999996</v>
      </c>
      <c r="F38" s="581">
        <v>0.75760000000000005</v>
      </c>
      <c r="G38" s="581">
        <v>1.6807000000000001</v>
      </c>
      <c r="H38" s="581">
        <v>1.8013999999999999</v>
      </c>
    </row>
    <row r="39" spans="1:8">
      <c r="A39" s="581">
        <v>33</v>
      </c>
      <c r="B39" s="581" t="s">
        <v>1552</v>
      </c>
      <c r="C39" s="581">
        <v>1.4474</v>
      </c>
      <c r="D39" s="581">
        <v>0.2994</v>
      </c>
      <c r="E39" s="581">
        <v>11.138199999999999</v>
      </c>
      <c r="F39" s="581">
        <v>0.8155</v>
      </c>
      <c r="G39" s="581">
        <v>1.3008</v>
      </c>
      <c r="H39" s="581">
        <v>1.1685000000000001</v>
      </c>
    </row>
    <row r="40" spans="1:8">
      <c r="A40" s="581">
        <v>34</v>
      </c>
      <c r="B40" s="581" t="s">
        <v>1553</v>
      </c>
      <c r="C40" s="581">
        <v>1.7058</v>
      </c>
      <c r="D40" s="581">
        <v>0.4829</v>
      </c>
      <c r="E40" s="581">
        <v>6.7614999999999998</v>
      </c>
      <c r="F40" s="581">
        <v>0.91890000000000005</v>
      </c>
      <c r="G40" s="581">
        <v>1.2969999999999999</v>
      </c>
      <c r="H40" s="581">
        <v>1.6654</v>
      </c>
    </row>
    <row r="41" spans="1:8">
      <c r="A41" s="581">
        <v>35</v>
      </c>
      <c r="B41" s="581" t="s">
        <v>1554</v>
      </c>
      <c r="C41" s="581">
        <v>1.3983000000000001</v>
      </c>
      <c r="D41" s="581">
        <v>0.22189999999999999</v>
      </c>
      <c r="E41" s="581">
        <v>4.7784000000000004</v>
      </c>
      <c r="F41" s="581">
        <v>0.9274</v>
      </c>
      <c r="G41" s="581">
        <v>1.3876999999999999</v>
      </c>
      <c r="H41" s="581">
        <v>1.4729000000000001</v>
      </c>
    </row>
    <row r="42" spans="1:8">
      <c r="A42" s="581">
        <v>36</v>
      </c>
      <c r="B42" s="581" t="s">
        <v>1555</v>
      </c>
      <c r="C42" s="581">
        <v>1.5906</v>
      </c>
      <c r="D42" s="581">
        <v>0.35880000000000001</v>
      </c>
      <c r="E42" s="581">
        <v>8.5014000000000003</v>
      </c>
      <c r="F42" s="581">
        <v>1.0632999999999999</v>
      </c>
      <c r="G42" s="581">
        <v>1.3299000000000001</v>
      </c>
      <c r="H42" s="581">
        <v>1.3755999999999999</v>
      </c>
    </row>
    <row r="43" spans="1:8">
      <c r="A43" s="581">
        <v>37</v>
      </c>
      <c r="B43" s="581" t="s">
        <v>1556</v>
      </c>
      <c r="C43" s="581">
        <v>1.7663</v>
      </c>
      <c r="D43" s="581">
        <v>0.21959999999999999</v>
      </c>
      <c r="E43" s="581">
        <v>4.1929999999999996</v>
      </c>
      <c r="F43" s="581">
        <v>0.90039999999999998</v>
      </c>
      <c r="G43" s="581">
        <v>2.1587999999999998</v>
      </c>
      <c r="H43" s="581">
        <v>2.8075000000000001</v>
      </c>
    </row>
    <row r="44" spans="1:8">
      <c r="A44" s="581">
        <v>38</v>
      </c>
      <c r="B44" s="581" t="s">
        <v>1557</v>
      </c>
      <c r="C44" s="581">
        <v>1.4993000000000001</v>
      </c>
      <c r="D44" s="581">
        <v>0.27110000000000001</v>
      </c>
      <c r="E44" s="581">
        <v>7.5627000000000004</v>
      </c>
      <c r="F44" s="581">
        <v>0.90549999999999997</v>
      </c>
      <c r="G44" s="581">
        <v>1.3915</v>
      </c>
      <c r="H44" s="581">
        <v>1.3393999999999999</v>
      </c>
    </row>
    <row r="45" spans="1:8">
      <c r="A45" s="581">
        <v>39</v>
      </c>
      <c r="B45" s="581" t="s">
        <v>1558</v>
      </c>
      <c r="C45" s="581">
        <v>1</v>
      </c>
      <c r="D45" s="581">
        <v>0</v>
      </c>
      <c r="E45" s="581">
        <v>0</v>
      </c>
      <c r="F45" s="581">
        <v>0</v>
      </c>
      <c r="G45" s="581">
        <v>0</v>
      </c>
      <c r="H45" s="581">
        <v>0</v>
      </c>
    </row>
    <row r="46" spans="1:8">
      <c r="A46" s="581">
        <v>40</v>
      </c>
      <c r="B46" s="581" t="s">
        <v>1559</v>
      </c>
      <c r="C46" s="581">
        <v>1.5055000000000001</v>
      </c>
      <c r="D46" s="581">
        <v>0.11609999999999999</v>
      </c>
      <c r="E46" s="581">
        <v>2.0756999999999999</v>
      </c>
      <c r="F46" s="581">
        <v>0.85219999999999996</v>
      </c>
      <c r="G46" s="581">
        <v>2.3616999999999999</v>
      </c>
      <c r="H46" s="581">
        <v>3.3408000000000002</v>
      </c>
    </row>
    <row r="47" spans="1:8">
      <c r="A47" s="581">
        <v>41</v>
      </c>
      <c r="B47" s="581" t="s">
        <v>1560</v>
      </c>
      <c r="C47" s="581">
        <v>1.6792</v>
      </c>
      <c r="D47" s="581">
        <v>0.19159999999999999</v>
      </c>
      <c r="E47" s="581">
        <v>3.4314</v>
      </c>
      <c r="F47" s="581">
        <v>0.88739999999999997</v>
      </c>
      <c r="G47" s="581">
        <v>2.0606</v>
      </c>
      <c r="H47" s="581">
        <v>3.0760000000000001</v>
      </c>
    </row>
    <row r="48" spans="1:8">
      <c r="A48" s="581">
        <v>42</v>
      </c>
      <c r="B48" s="581" t="s">
        <v>1561</v>
      </c>
      <c r="C48" s="581">
        <v>1.7544</v>
      </c>
      <c r="D48" s="581">
        <v>0.2064</v>
      </c>
      <c r="E48" s="581">
        <v>3.8908999999999998</v>
      </c>
      <c r="F48" s="581">
        <v>0.94269999999999998</v>
      </c>
      <c r="G48" s="581">
        <v>2.2502</v>
      </c>
      <c r="H48" s="581">
        <v>2.7829999999999999</v>
      </c>
    </row>
    <row r="49" spans="1:8">
      <c r="A49" s="581">
        <v>43</v>
      </c>
      <c r="B49" s="581" t="s">
        <v>1562</v>
      </c>
      <c r="C49" s="581">
        <v>1.7544</v>
      </c>
      <c r="D49" s="581">
        <v>0.32590000000000002</v>
      </c>
      <c r="E49" s="581">
        <v>5.4362000000000004</v>
      </c>
      <c r="F49" s="581">
        <v>0.9869</v>
      </c>
      <c r="G49" s="581">
        <v>1.5199</v>
      </c>
      <c r="H49" s="581">
        <v>1.8528</v>
      </c>
    </row>
    <row r="50" spans="1:8">
      <c r="A50" s="581">
        <v>44</v>
      </c>
      <c r="B50" s="581" t="s">
        <v>1563</v>
      </c>
      <c r="C50" s="581">
        <v>1.5579000000000001</v>
      </c>
      <c r="D50" s="581">
        <v>0.18870000000000001</v>
      </c>
      <c r="E50" s="581">
        <v>3.0202</v>
      </c>
      <c r="F50" s="581">
        <v>1.0178</v>
      </c>
      <c r="G50" s="581">
        <v>1.6740999999999999</v>
      </c>
      <c r="H50" s="581">
        <v>2.0253000000000001</v>
      </c>
    </row>
    <row r="51" spans="1:8">
      <c r="A51" s="581">
        <v>45</v>
      </c>
      <c r="B51" s="581" t="s">
        <v>1564</v>
      </c>
      <c r="C51" s="581">
        <v>1.9822</v>
      </c>
      <c r="D51" s="581">
        <v>0.25140000000000001</v>
      </c>
      <c r="E51" s="581">
        <v>3.8841000000000001</v>
      </c>
      <c r="F51" s="581">
        <v>1.0054000000000001</v>
      </c>
      <c r="G51" s="581">
        <v>2.9782999999999999</v>
      </c>
      <c r="H51" s="581">
        <v>4.5525000000000002</v>
      </c>
    </row>
    <row r="52" spans="1:8">
      <c r="A52" s="581">
        <v>46</v>
      </c>
      <c r="B52" s="581" t="s">
        <v>1565</v>
      </c>
      <c r="C52" s="581">
        <v>1.3998999999999999</v>
      </c>
      <c r="D52" s="581">
        <v>8.4900000000000003E-2</v>
      </c>
      <c r="E52" s="581">
        <v>4.3011999999999997</v>
      </c>
      <c r="F52" s="581">
        <v>0.9335</v>
      </c>
      <c r="G52" s="581">
        <v>2.4807999999999999</v>
      </c>
      <c r="H52" s="581">
        <v>1.4167000000000001</v>
      </c>
    </row>
    <row r="53" spans="1:8">
      <c r="A53" s="581">
        <v>47</v>
      </c>
      <c r="B53" s="581" t="s">
        <v>1566</v>
      </c>
      <c r="C53" s="581">
        <v>1.3611</v>
      </c>
      <c r="D53" s="581">
        <v>0.1101</v>
      </c>
      <c r="E53" s="581">
        <v>2.109</v>
      </c>
      <c r="F53" s="581">
        <v>0.86899999999999999</v>
      </c>
      <c r="G53" s="581">
        <v>1.8871</v>
      </c>
      <c r="H53" s="581">
        <v>2.3885999999999998</v>
      </c>
    </row>
    <row r="54" spans="1:8">
      <c r="A54" s="581">
        <v>48</v>
      </c>
      <c r="B54" s="581" t="s">
        <v>1567</v>
      </c>
      <c r="C54" s="581">
        <v>1.5722</v>
      </c>
      <c r="D54" s="581">
        <v>0.30669999999999997</v>
      </c>
      <c r="E54" s="581">
        <v>5.2892999999999999</v>
      </c>
      <c r="F54" s="581">
        <v>1.0262</v>
      </c>
      <c r="G54" s="581">
        <v>1.3949</v>
      </c>
      <c r="H54" s="581">
        <v>1.6843999999999999</v>
      </c>
    </row>
    <row r="55" spans="1:8">
      <c r="A55" s="581">
        <v>49</v>
      </c>
      <c r="B55" s="581" t="s">
        <v>1568</v>
      </c>
      <c r="C55" s="581">
        <v>1.6365000000000001</v>
      </c>
      <c r="D55" s="581">
        <v>0.33560000000000001</v>
      </c>
      <c r="E55" s="581">
        <v>4.1829999999999998</v>
      </c>
      <c r="F55" s="581">
        <v>1.0363</v>
      </c>
      <c r="G55" s="581">
        <v>1.4017999999999999</v>
      </c>
      <c r="H55" s="581">
        <v>2.1103999999999998</v>
      </c>
    </row>
    <row r="56" spans="1:8">
      <c r="A56" s="581">
        <v>50</v>
      </c>
      <c r="B56" s="581" t="s">
        <v>1569</v>
      </c>
      <c r="C56" s="581">
        <v>1.5732999999999999</v>
      </c>
      <c r="D56" s="581">
        <v>0.30030000000000001</v>
      </c>
      <c r="E56" s="581">
        <v>10.2014</v>
      </c>
      <c r="F56" s="581">
        <v>0.98939999999999995</v>
      </c>
      <c r="G56" s="581">
        <v>1.4121999999999999</v>
      </c>
      <c r="H56" s="581">
        <v>1.2726999999999999</v>
      </c>
    </row>
    <row r="57" spans="1:8">
      <c r="A57" s="581">
        <v>51</v>
      </c>
      <c r="B57" s="581" t="s">
        <v>1570</v>
      </c>
      <c r="C57" s="581">
        <v>1.7704</v>
      </c>
      <c r="D57" s="581">
        <v>0.3846</v>
      </c>
      <c r="E57" s="581">
        <v>7.2836999999999996</v>
      </c>
      <c r="F57" s="581">
        <v>0.97799999999999998</v>
      </c>
      <c r="G57" s="581">
        <v>1.5059</v>
      </c>
      <c r="H57" s="581">
        <v>1.665</v>
      </c>
    </row>
    <row r="58" spans="1:8">
      <c r="A58" s="581">
        <v>52</v>
      </c>
      <c r="B58" s="581" t="s">
        <v>1571</v>
      </c>
      <c r="C58" s="581">
        <v>1.5992</v>
      </c>
      <c r="D58" s="581">
        <v>0.40110000000000001</v>
      </c>
      <c r="E58" s="581">
        <v>13.229900000000001</v>
      </c>
      <c r="F58" s="581">
        <v>1.0161</v>
      </c>
      <c r="G58" s="581">
        <v>1.2682</v>
      </c>
      <c r="H58" s="581">
        <v>1.2032</v>
      </c>
    </row>
    <row r="59" spans="1:8">
      <c r="A59" s="581">
        <v>53</v>
      </c>
      <c r="B59" s="581" t="s">
        <v>1572</v>
      </c>
      <c r="C59" s="581">
        <v>1.7301</v>
      </c>
      <c r="D59" s="581">
        <v>0.42780000000000001</v>
      </c>
      <c r="E59" s="581">
        <v>8.1029</v>
      </c>
      <c r="F59" s="581">
        <v>1.0783</v>
      </c>
      <c r="G59" s="581">
        <v>1.3507</v>
      </c>
      <c r="H59" s="581">
        <v>1.5031000000000001</v>
      </c>
    </row>
    <row r="60" spans="1:8">
      <c r="A60" s="581">
        <v>54</v>
      </c>
      <c r="B60" s="581" t="s">
        <v>1573</v>
      </c>
      <c r="C60" s="581">
        <v>1.7684</v>
      </c>
      <c r="D60" s="581">
        <v>0.34649999999999997</v>
      </c>
      <c r="E60" s="581">
        <v>7.0564</v>
      </c>
      <c r="F60" s="581">
        <v>1.0066999999999999</v>
      </c>
      <c r="G60" s="581">
        <v>1.4454</v>
      </c>
      <c r="H60" s="581">
        <v>1.6208</v>
      </c>
    </row>
    <row r="61" spans="1:8">
      <c r="A61" s="581">
        <v>55</v>
      </c>
      <c r="B61" s="581" t="s">
        <v>1574</v>
      </c>
      <c r="C61" s="581">
        <v>1.5336000000000001</v>
      </c>
      <c r="D61" s="581">
        <v>0.28999999999999998</v>
      </c>
      <c r="E61" s="581">
        <v>8.5427</v>
      </c>
      <c r="F61" s="581">
        <v>1.0019</v>
      </c>
      <c r="G61" s="581">
        <v>1.3612</v>
      </c>
      <c r="H61" s="581">
        <v>1.3011999999999999</v>
      </c>
    </row>
    <row r="62" spans="1:8">
      <c r="A62" s="581">
        <v>56</v>
      </c>
      <c r="B62" s="581" t="s">
        <v>1575</v>
      </c>
      <c r="C62" s="581">
        <v>1.6354</v>
      </c>
      <c r="D62" s="581">
        <v>0.37790000000000001</v>
      </c>
      <c r="E62" s="581">
        <v>15.400499999999999</v>
      </c>
      <c r="F62" s="581">
        <v>1.0276000000000001</v>
      </c>
      <c r="G62" s="581">
        <v>1.3239000000000001</v>
      </c>
      <c r="H62" s="581">
        <v>1.1826000000000001</v>
      </c>
    </row>
    <row r="63" spans="1:8">
      <c r="A63" s="581">
        <v>57</v>
      </c>
      <c r="B63" s="581" t="s">
        <v>1576</v>
      </c>
      <c r="C63" s="581">
        <v>1.5851999999999999</v>
      </c>
      <c r="D63" s="581">
        <v>0.26819999999999999</v>
      </c>
      <c r="E63" s="581">
        <v>8.7593999999999994</v>
      </c>
      <c r="F63" s="581">
        <v>0.96</v>
      </c>
      <c r="G63" s="581">
        <v>1.5087999999999999</v>
      </c>
      <c r="H63" s="581">
        <v>1.3665</v>
      </c>
    </row>
    <row r="64" spans="1:8">
      <c r="A64" s="581">
        <v>58</v>
      </c>
      <c r="B64" s="581" t="s">
        <v>1577</v>
      </c>
      <c r="C64" s="581">
        <v>1.6191</v>
      </c>
      <c r="D64" s="581">
        <v>0.3211</v>
      </c>
      <c r="E64" s="581">
        <v>14.448600000000001</v>
      </c>
      <c r="F64" s="581">
        <v>1.0234000000000001</v>
      </c>
      <c r="G64" s="581">
        <v>1.3626</v>
      </c>
      <c r="H64" s="581">
        <v>1.1672</v>
      </c>
    </row>
    <row r="65" spans="1:8">
      <c r="A65" s="581">
        <v>59</v>
      </c>
      <c r="B65" s="581" t="s">
        <v>1578</v>
      </c>
      <c r="C65" s="581">
        <v>1.6318999999999999</v>
      </c>
      <c r="D65" s="581">
        <v>0.24940000000000001</v>
      </c>
      <c r="E65" s="581">
        <v>6.3429000000000002</v>
      </c>
      <c r="F65" s="581">
        <v>0.93340000000000001</v>
      </c>
      <c r="G65" s="581">
        <v>1.6516</v>
      </c>
      <c r="H65" s="581">
        <v>1.5509999999999999</v>
      </c>
    </row>
    <row r="66" spans="1:8">
      <c r="A66" s="581">
        <v>60</v>
      </c>
      <c r="B66" s="581" t="s">
        <v>1579</v>
      </c>
      <c r="C66" s="581">
        <v>1.5729</v>
      </c>
      <c r="D66" s="581">
        <v>0.29380000000000001</v>
      </c>
      <c r="E66" s="581">
        <v>13.4068</v>
      </c>
      <c r="F66" s="581">
        <v>0.88939999999999997</v>
      </c>
      <c r="G66" s="581">
        <v>1.3843000000000001</v>
      </c>
      <c r="H66" s="581">
        <v>1.17</v>
      </c>
    </row>
    <row r="67" spans="1:8">
      <c r="A67" s="581">
        <v>61</v>
      </c>
      <c r="B67" s="581" t="s">
        <v>1580</v>
      </c>
      <c r="C67" s="581">
        <v>1.6962999999999999</v>
      </c>
      <c r="D67" s="581">
        <v>0.34229999999999999</v>
      </c>
      <c r="E67" s="581">
        <v>8.6087000000000007</v>
      </c>
      <c r="F67" s="581">
        <v>0.97919999999999996</v>
      </c>
      <c r="G67" s="581">
        <v>1.4380999999999999</v>
      </c>
      <c r="H67" s="581">
        <v>1.4261999999999999</v>
      </c>
    </row>
    <row r="68" spans="1:8">
      <c r="A68" s="581">
        <v>62</v>
      </c>
      <c r="B68" s="581" t="s">
        <v>1581</v>
      </c>
      <c r="C68" s="581">
        <v>0.89329999999999998</v>
      </c>
      <c r="D68" s="581">
        <v>0.13600000000000001</v>
      </c>
      <c r="E68" s="581">
        <v>3.6892</v>
      </c>
      <c r="F68" s="581">
        <v>0.5484</v>
      </c>
      <c r="G68" s="581">
        <v>0</v>
      </c>
      <c r="H68" s="581">
        <v>0</v>
      </c>
    </row>
    <row r="70" spans="1:8">
      <c r="C70" s="581">
        <f>SUM(C6:C68)</f>
        <v>93.312299999999993</v>
      </c>
      <c r="D70" s="581">
        <f t="shared" ref="D70:H70" si="0">SUM(D6:D68)</f>
        <v>13.518399999999996</v>
      </c>
      <c r="E70" s="581">
        <f t="shared" si="0"/>
        <v>330.44780000000009</v>
      </c>
      <c r="F70" s="581">
        <f t="shared" si="0"/>
        <v>47.915100000000017</v>
      </c>
      <c r="G70" s="581">
        <f t="shared" si="0"/>
        <v>98.837500000000034</v>
      </c>
      <c r="H70" s="581">
        <f t="shared" si="0"/>
        <v>110.47869999999999</v>
      </c>
    </row>
    <row r="71" spans="1:8">
      <c r="C71" s="581">
        <f>C70-SUM(morris!B2:B63)</f>
        <v>4.0999999999996817E-2</v>
      </c>
      <c r="D71" s="581">
        <f>D70-SUM(morris!C2:C63)</f>
        <v>-0.22490000000000343</v>
      </c>
      <c r="E71" s="581">
        <f>E70-SUM(morris!D2:D63)</f>
        <v>-13.47219999999993</v>
      </c>
      <c r="F71" s="581">
        <f>F70-SUM(morris!E2:E63)</f>
        <v>-1.5108999999999781</v>
      </c>
      <c r="G71" s="581">
        <f>G70-SUM(morris!F2:F63)</f>
        <v>0.51300000000004786</v>
      </c>
      <c r="H71" s="581">
        <f>H70-SUM(morris!G2:G63)</f>
        <v>4.9572999999999752</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H71"/>
  <sheetViews>
    <sheetView topLeftCell="A56" workbookViewId="0">
      <selection activeCell="L66" sqref="L66"/>
    </sheetView>
  </sheetViews>
  <sheetFormatPr defaultColWidth="9.109375" defaultRowHeight="14.4"/>
  <cols>
    <col min="1" max="16384" width="9.109375" style="581"/>
  </cols>
  <sheetData>
    <row r="1" spans="1:8">
      <c r="A1" s="581" t="s">
        <v>1513</v>
      </c>
    </row>
    <row r="2" spans="1:8">
      <c r="A2" s="581" t="s">
        <v>1594</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1.4145000000000001</v>
      </c>
      <c r="D7" s="581">
        <v>0.41320000000000001</v>
      </c>
      <c r="E7" s="581">
        <v>17.788</v>
      </c>
      <c r="F7" s="581">
        <v>0.64470000000000005</v>
      </c>
      <c r="G7" s="581">
        <v>1.31</v>
      </c>
      <c r="H7" s="581">
        <v>1.1834</v>
      </c>
    </row>
    <row r="8" spans="1:8">
      <c r="A8" s="581">
        <v>2</v>
      </c>
      <c r="B8" s="581" t="s">
        <v>1521</v>
      </c>
      <c r="C8" s="581">
        <v>1.2637</v>
      </c>
      <c r="D8" s="581">
        <v>0.2863</v>
      </c>
      <c r="E8" s="581">
        <v>12.2737</v>
      </c>
      <c r="F8" s="581">
        <v>0.82230000000000003</v>
      </c>
      <c r="G8" s="581">
        <v>1.2906</v>
      </c>
      <c r="H8" s="581">
        <v>1.1706000000000001</v>
      </c>
    </row>
    <row r="9" spans="1:8">
      <c r="A9" s="581">
        <v>3</v>
      </c>
      <c r="B9" s="581" t="s">
        <v>1522</v>
      </c>
      <c r="C9" s="581">
        <v>1</v>
      </c>
      <c r="D9" s="581">
        <v>0</v>
      </c>
      <c r="E9" s="581">
        <v>0</v>
      </c>
      <c r="F9" s="581">
        <v>0</v>
      </c>
      <c r="G9" s="581">
        <v>0</v>
      </c>
      <c r="H9" s="581">
        <v>0</v>
      </c>
    </row>
    <row r="10" spans="1:8">
      <c r="A10" s="581">
        <v>4</v>
      </c>
      <c r="B10" s="581" t="s">
        <v>1523</v>
      </c>
      <c r="C10" s="581">
        <v>1.5081</v>
      </c>
      <c r="D10" s="581">
        <v>0.36020000000000002</v>
      </c>
      <c r="E10" s="581">
        <v>6.4847999999999999</v>
      </c>
      <c r="F10" s="581">
        <v>0.80840000000000001</v>
      </c>
      <c r="G10" s="581">
        <v>1.4934000000000001</v>
      </c>
      <c r="H10" s="581">
        <v>1.7708999999999999</v>
      </c>
    </row>
    <row r="11" spans="1:8">
      <c r="A11" s="581">
        <v>5</v>
      </c>
      <c r="B11" s="581" t="s">
        <v>1524</v>
      </c>
      <c r="C11" s="581">
        <v>1.4763999999999999</v>
      </c>
      <c r="D11" s="581">
        <v>0.2233</v>
      </c>
      <c r="E11" s="581">
        <v>4.7980999999999998</v>
      </c>
      <c r="F11" s="581">
        <v>0.59240000000000004</v>
      </c>
      <c r="G11" s="581">
        <v>2.0135999999999998</v>
      </c>
      <c r="H11" s="581">
        <v>2.0647000000000002</v>
      </c>
    </row>
    <row r="12" spans="1:8">
      <c r="A12" s="581">
        <v>6</v>
      </c>
      <c r="B12" s="581" t="s">
        <v>1525</v>
      </c>
      <c r="C12" s="581">
        <v>1.2231000000000001</v>
      </c>
      <c r="D12" s="581">
        <v>0.19620000000000001</v>
      </c>
      <c r="E12" s="581">
        <v>2.8132999999999999</v>
      </c>
      <c r="F12" s="581">
        <v>0.70820000000000005</v>
      </c>
      <c r="G12" s="581">
        <v>1.4029</v>
      </c>
      <c r="H12" s="581">
        <v>2.1562999999999999</v>
      </c>
    </row>
    <row r="13" spans="1:8">
      <c r="A13" s="581">
        <v>7</v>
      </c>
      <c r="B13" s="581" t="s">
        <v>1526</v>
      </c>
      <c r="C13" s="581">
        <v>1.5966</v>
      </c>
      <c r="D13" s="581">
        <v>0.45450000000000002</v>
      </c>
      <c r="E13" s="581">
        <v>9.7555999999999994</v>
      </c>
      <c r="F13" s="581">
        <v>0.84809999999999997</v>
      </c>
      <c r="G13" s="581">
        <v>1.4753000000000001</v>
      </c>
      <c r="H13" s="581">
        <v>1.659</v>
      </c>
    </row>
    <row r="14" spans="1:8">
      <c r="A14" s="581">
        <v>8</v>
      </c>
      <c r="B14" s="581" t="s">
        <v>1527</v>
      </c>
      <c r="C14" s="581">
        <v>1.3897999999999999</v>
      </c>
      <c r="D14" s="581">
        <v>0.28110000000000002</v>
      </c>
      <c r="E14" s="581">
        <v>7.1501000000000001</v>
      </c>
      <c r="F14" s="581">
        <v>0.50439999999999996</v>
      </c>
      <c r="G14" s="581">
        <v>1.5101</v>
      </c>
      <c r="H14" s="581">
        <v>1.5064</v>
      </c>
    </row>
    <row r="15" spans="1:8">
      <c r="A15" s="581">
        <v>9</v>
      </c>
      <c r="B15" s="581" t="s">
        <v>1528</v>
      </c>
      <c r="C15" s="581">
        <v>1.5347999999999999</v>
      </c>
      <c r="D15" s="581">
        <v>0.2964</v>
      </c>
      <c r="E15" s="581">
        <v>6.1498999999999997</v>
      </c>
      <c r="F15" s="581">
        <v>0.6794</v>
      </c>
      <c r="G15" s="581">
        <v>1.7747999999999999</v>
      </c>
      <c r="H15" s="581">
        <v>1.972</v>
      </c>
    </row>
    <row r="16" spans="1:8">
      <c r="A16" s="581">
        <v>10</v>
      </c>
      <c r="B16" s="581" t="s">
        <v>1529</v>
      </c>
      <c r="C16" s="581">
        <v>1.2779</v>
      </c>
      <c r="D16" s="581">
        <v>0.13300000000000001</v>
      </c>
      <c r="E16" s="581">
        <v>2.6004999999999998</v>
      </c>
      <c r="F16" s="581">
        <v>0.38469999999999999</v>
      </c>
      <c r="G16" s="581">
        <v>1.8119000000000001</v>
      </c>
      <c r="H16" s="581">
        <v>2.1589</v>
      </c>
    </row>
    <row r="17" spans="1:8">
      <c r="A17" s="581">
        <v>11</v>
      </c>
      <c r="B17" s="581" t="s">
        <v>1530</v>
      </c>
      <c r="C17" s="581">
        <v>1.4021999999999999</v>
      </c>
      <c r="D17" s="581">
        <v>0.27439999999999998</v>
      </c>
      <c r="E17" s="581">
        <v>5.8258000000000001</v>
      </c>
      <c r="F17" s="581">
        <v>0.628</v>
      </c>
      <c r="G17" s="581">
        <v>1.5102</v>
      </c>
      <c r="H17" s="581">
        <v>1.6774</v>
      </c>
    </row>
    <row r="18" spans="1:8">
      <c r="A18" s="581">
        <v>12</v>
      </c>
      <c r="B18" s="581" t="s">
        <v>1531</v>
      </c>
      <c r="C18" s="581">
        <v>1.3684000000000001</v>
      </c>
      <c r="D18" s="581">
        <v>0.2414</v>
      </c>
      <c r="E18" s="581">
        <v>4.5571000000000002</v>
      </c>
      <c r="F18" s="581">
        <v>0.56359999999999999</v>
      </c>
      <c r="G18" s="581">
        <v>1.5407</v>
      </c>
      <c r="H18" s="581">
        <v>1.8452999999999999</v>
      </c>
    </row>
    <row r="19" spans="1:8">
      <c r="A19" s="581">
        <v>13</v>
      </c>
      <c r="B19" s="581" t="s">
        <v>1532</v>
      </c>
      <c r="C19" s="581">
        <v>1.3938999999999999</v>
      </c>
      <c r="D19" s="581">
        <v>0.30669999999999997</v>
      </c>
      <c r="E19" s="581">
        <v>5.0376000000000003</v>
      </c>
      <c r="F19" s="581">
        <v>0.72489999999999999</v>
      </c>
      <c r="G19" s="581">
        <v>1.429</v>
      </c>
      <c r="H19" s="581">
        <v>1.8875999999999999</v>
      </c>
    </row>
    <row r="20" spans="1:8">
      <c r="A20" s="581">
        <v>14</v>
      </c>
      <c r="B20" s="581" t="s">
        <v>1533</v>
      </c>
      <c r="C20" s="581">
        <v>1.3099000000000001</v>
      </c>
      <c r="D20" s="581">
        <v>0.28110000000000002</v>
      </c>
      <c r="E20" s="581">
        <v>5.6260000000000003</v>
      </c>
      <c r="F20" s="581">
        <v>0.60760000000000003</v>
      </c>
      <c r="G20" s="581">
        <v>1.3522000000000001</v>
      </c>
      <c r="H20" s="581">
        <v>1.5213000000000001</v>
      </c>
    </row>
    <row r="21" spans="1:8">
      <c r="A21" s="581">
        <v>15</v>
      </c>
      <c r="B21" s="581" t="s">
        <v>1534</v>
      </c>
      <c r="C21" s="581">
        <v>1.3613</v>
      </c>
      <c r="D21" s="581">
        <v>0.23100000000000001</v>
      </c>
      <c r="E21" s="581">
        <v>4.5270000000000001</v>
      </c>
      <c r="F21" s="581">
        <v>0.41499999999999998</v>
      </c>
      <c r="G21" s="581">
        <v>1.5409999999999999</v>
      </c>
      <c r="H21" s="581">
        <v>1.8008</v>
      </c>
    </row>
    <row r="22" spans="1:8">
      <c r="A22" s="581">
        <v>16</v>
      </c>
      <c r="B22" s="581" t="s">
        <v>1535</v>
      </c>
      <c r="C22" s="581">
        <v>1.371</v>
      </c>
      <c r="D22" s="581">
        <v>0.2263</v>
      </c>
      <c r="E22" s="581">
        <v>4.8064</v>
      </c>
      <c r="F22" s="581">
        <v>0.55320000000000003</v>
      </c>
      <c r="G22" s="581">
        <v>1.6254</v>
      </c>
      <c r="H22" s="581">
        <v>1.8206</v>
      </c>
    </row>
    <row r="23" spans="1:8">
      <c r="A23" s="581">
        <v>17</v>
      </c>
      <c r="B23" s="581" t="s">
        <v>1536</v>
      </c>
      <c r="C23" s="581">
        <v>1.4357</v>
      </c>
      <c r="D23" s="581">
        <v>0.30819999999999997</v>
      </c>
      <c r="E23" s="581">
        <v>7.4019000000000004</v>
      </c>
      <c r="F23" s="581">
        <v>0.6542</v>
      </c>
      <c r="G23" s="581">
        <v>1.4981</v>
      </c>
      <c r="H23" s="581">
        <v>1.5763</v>
      </c>
    </row>
    <row r="24" spans="1:8">
      <c r="A24" s="581">
        <v>18</v>
      </c>
      <c r="B24" s="581" t="s">
        <v>1537</v>
      </c>
      <c r="C24" s="581">
        <v>1.3687</v>
      </c>
      <c r="D24" s="581">
        <v>0.2883</v>
      </c>
      <c r="E24" s="581">
        <v>5.4343000000000004</v>
      </c>
      <c r="F24" s="581">
        <v>0.73360000000000003</v>
      </c>
      <c r="G24" s="581">
        <v>1.4282999999999999</v>
      </c>
      <c r="H24" s="581">
        <v>1.7021999999999999</v>
      </c>
    </row>
    <row r="25" spans="1:8">
      <c r="A25" s="581">
        <v>19</v>
      </c>
      <c r="B25" s="581" t="s">
        <v>1538</v>
      </c>
      <c r="C25" s="581">
        <v>1.3315999999999999</v>
      </c>
      <c r="D25" s="581">
        <v>0.17019999999999999</v>
      </c>
      <c r="E25" s="581">
        <v>3.8952</v>
      </c>
      <c r="F25" s="581">
        <v>0.43140000000000001</v>
      </c>
      <c r="G25" s="581">
        <v>1.732</v>
      </c>
      <c r="H25" s="581">
        <v>1.8147</v>
      </c>
    </row>
    <row r="26" spans="1:8">
      <c r="A26" s="581">
        <v>20</v>
      </c>
      <c r="B26" s="581" t="s">
        <v>1539</v>
      </c>
      <c r="C26" s="581">
        <v>1.4404999999999999</v>
      </c>
      <c r="D26" s="581">
        <v>0.31669999999999998</v>
      </c>
      <c r="E26" s="581">
        <v>7.7535999999999996</v>
      </c>
      <c r="F26" s="581">
        <v>0.53659999999999997</v>
      </c>
      <c r="G26" s="581">
        <v>1.4869000000000001</v>
      </c>
      <c r="H26" s="581">
        <v>1.5214000000000001</v>
      </c>
    </row>
    <row r="27" spans="1:8">
      <c r="A27" s="581">
        <v>21</v>
      </c>
      <c r="B27" s="581" t="s">
        <v>1540</v>
      </c>
      <c r="C27" s="581">
        <v>1.4557</v>
      </c>
      <c r="D27" s="581">
        <v>0.36780000000000002</v>
      </c>
      <c r="E27" s="581">
        <v>9.8003</v>
      </c>
      <c r="F27" s="581">
        <v>0.67800000000000005</v>
      </c>
      <c r="G27" s="581">
        <v>1.4313</v>
      </c>
      <c r="H27" s="581">
        <v>1.4242999999999999</v>
      </c>
    </row>
    <row r="28" spans="1:8">
      <c r="A28" s="581">
        <v>22</v>
      </c>
      <c r="B28" s="581" t="s">
        <v>1541</v>
      </c>
      <c r="C28" s="581">
        <v>1.3491</v>
      </c>
      <c r="D28" s="581">
        <v>0.253</v>
      </c>
      <c r="E28" s="581">
        <v>4.6612</v>
      </c>
      <c r="F28" s="581">
        <v>0.54990000000000006</v>
      </c>
      <c r="G28" s="581">
        <v>1.4371</v>
      </c>
      <c r="H28" s="581">
        <v>1.6819</v>
      </c>
    </row>
    <row r="29" spans="1:8">
      <c r="A29" s="581">
        <v>23</v>
      </c>
      <c r="B29" s="581" t="s">
        <v>1542</v>
      </c>
      <c r="C29" s="581">
        <v>1.5117</v>
      </c>
      <c r="D29" s="581">
        <v>0.34029999999999999</v>
      </c>
      <c r="E29" s="581">
        <v>7.4596999999999998</v>
      </c>
      <c r="F29" s="581">
        <v>0.66579999999999995</v>
      </c>
      <c r="G29" s="581">
        <v>1.5548</v>
      </c>
      <c r="H29" s="581">
        <v>1.7336</v>
      </c>
    </row>
    <row r="30" spans="1:8">
      <c r="A30" s="581">
        <v>24</v>
      </c>
      <c r="B30" s="581" t="s">
        <v>1543</v>
      </c>
      <c r="C30" s="581">
        <v>1.0896999999999999</v>
      </c>
      <c r="D30" s="581">
        <v>6.7299999999999999E-2</v>
      </c>
      <c r="E30" s="581">
        <v>0.98</v>
      </c>
      <c r="F30" s="581">
        <v>0.25600000000000001</v>
      </c>
      <c r="G30" s="581">
        <v>1.4162999999999999</v>
      </c>
      <c r="H30" s="581">
        <v>1.9618</v>
      </c>
    </row>
    <row r="31" spans="1:8">
      <c r="A31" s="581">
        <v>25</v>
      </c>
      <c r="B31" s="581" t="s">
        <v>1544</v>
      </c>
      <c r="C31" s="581">
        <v>1.3261000000000001</v>
      </c>
      <c r="D31" s="581">
        <v>0.1961</v>
      </c>
      <c r="E31" s="581">
        <v>2.7967</v>
      </c>
      <c r="F31" s="581">
        <v>0.505</v>
      </c>
      <c r="G31" s="581">
        <v>1.5471999999999999</v>
      </c>
      <c r="H31" s="581">
        <v>2.3355000000000001</v>
      </c>
    </row>
    <row r="32" spans="1:8">
      <c r="A32" s="581">
        <v>26</v>
      </c>
      <c r="B32" s="581" t="s">
        <v>1545</v>
      </c>
      <c r="C32" s="581">
        <v>1.3722000000000001</v>
      </c>
      <c r="D32" s="581">
        <v>0.21959999999999999</v>
      </c>
      <c r="E32" s="581">
        <v>4.7438000000000002</v>
      </c>
      <c r="F32" s="581">
        <v>0.53269999999999995</v>
      </c>
      <c r="G32" s="581">
        <v>1.6066</v>
      </c>
      <c r="H32" s="581">
        <v>1.7584</v>
      </c>
    </row>
    <row r="33" spans="1:8">
      <c r="A33" s="581">
        <v>27</v>
      </c>
      <c r="B33" s="581" t="s">
        <v>1546</v>
      </c>
      <c r="C33" s="581">
        <v>1.4446000000000001</v>
      </c>
      <c r="D33" s="581">
        <v>0.3639</v>
      </c>
      <c r="E33" s="581">
        <v>6.3480999999999996</v>
      </c>
      <c r="F33" s="581">
        <v>0.91830000000000001</v>
      </c>
      <c r="G33" s="581">
        <v>1.4359999999999999</v>
      </c>
      <c r="H33" s="581">
        <v>1.8806</v>
      </c>
    </row>
    <row r="34" spans="1:8">
      <c r="A34" s="581">
        <v>28</v>
      </c>
      <c r="B34" s="581" t="s">
        <v>1547</v>
      </c>
      <c r="C34" s="581">
        <v>1.5282</v>
      </c>
      <c r="D34" s="581">
        <v>0.44040000000000001</v>
      </c>
      <c r="E34" s="581">
        <v>14.6875</v>
      </c>
      <c r="F34" s="581">
        <v>0.99270000000000003</v>
      </c>
      <c r="G34" s="581">
        <v>1.3768</v>
      </c>
      <c r="H34" s="581">
        <v>1.3050999999999999</v>
      </c>
    </row>
    <row r="35" spans="1:8">
      <c r="A35" s="581">
        <v>29</v>
      </c>
      <c r="B35" s="581" t="s">
        <v>1548</v>
      </c>
      <c r="C35" s="581">
        <v>1.3499000000000001</v>
      </c>
      <c r="D35" s="581">
        <v>0.27660000000000001</v>
      </c>
      <c r="E35" s="581">
        <v>5.6284000000000001</v>
      </c>
      <c r="F35" s="581">
        <v>0.57040000000000002</v>
      </c>
      <c r="G35" s="581">
        <v>1.4893000000000001</v>
      </c>
      <c r="H35" s="581">
        <v>1.7961</v>
      </c>
    </row>
    <row r="36" spans="1:8">
      <c r="A36" s="581">
        <v>30</v>
      </c>
      <c r="B36" s="581" t="s">
        <v>1549</v>
      </c>
      <c r="C36" s="581">
        <v>1.5</v>
      </c>
      <c r="D36" s="581">
        <v>0.31840000000000002</v>
      </c>
      <c r="E36" s="581">
        <v>5.7336999999999998</v>
      </c>
      <c r="F36" s="581">
        <v>0.70020000000000004</v>
      </c>
      <c r="G36" s="581">
        <v>1.675</v>
      </c>
      <c r="H36" s="581">
        <v>2.2212999999999998</v>
      </c>
    </row>
    <row r="37" spans="1:8">
      <c r="A37" s="581">
        <v>31</v>
      </c>
      <c r="B37" s="581" t="s">
        <v>1550</v>
      </c>
      <c r="C37" s="581">
        <v>1.3853</v>
      </c>
      <c r="D37" s="581">
        <v>0.26050000000000001</v>
      </c>
      <c r="E37" s="581">
        <v>4.2786999999999997</v>
      </c>
      <c r="F37" s="581">
        <v>0.6018</v>
      </c>
      <c r="G37" s="581">
        <v>1.6133</v>
      </c>
      <c r="H37" s="581">
        <v>2.5289000000000001</v>
      </c>
    </row>
    <row r="38" spans="1:8">
      <c r="A38" s="581">
        <v>32</v>
      </c>
      <c r="B38" s="581" t="s">
        <v>1551</v>
      </c>
      <c r="C38" s="581">
        <v>1.5285</v>
      </c>
      <c r="D38" s="581">
        <v>0.42049999999999998</v>
      </c>
      <c r="E38" s="581">
        <v>9.5664999999999996</v>
      </c>
      <c r="F38" s="581">
        <v>0.75229999999999997</v>
      </c>
      <c r="G38" s="581">
        <v>1.5024999999999999</v>
      </c>
      <c r="H38" s="581">
        <v>1.6613</v>
      </c>
    </row>
    <row r="39" spans="1:8">
      <c r="A39" s="581">
        <v>33</v>
      </c>
      <c r="B39" s="581" t="s">
        <v>1552</v>
      </c>
      <c r="C39" s="581">
        <v>1.5609999999999999</v>
      </c>
      <c r="D39" s="581">
        <v>0.58240000000000003</v>
      </c>
      <c r="E39" s="581">
        <v>22.2041</v>
      </c>
      <c r="F39" s="581">
        <v>0.87729999999999997</v>
      </c>
      <c r="G39" s="581">
        <v>1.3066</v>
      </c>
      <c r="H39" s="581">
        <v>1.2029000000000001</v>
      </c>
    </row>
    <row r="40" spans="1:8">
      <c r="A40" s="581">
        <v>34</v>
      </c>
      <c r="B40" s="581" t="s">
        <v>1553</v>
      </c>
      <c r="C40" s="581">
        <v>1</v>
      </c>
      <c r="D40" s="581">
        <v>0</v>
      </c>
      <c r="E40" s="581">
        <v>0</v>
      </c>
      <c r="F40" s="581">
        <v>0</v>
      </c>
      <c r="G40" s="581">
        <v>0</v>
      </c>
      <c r="H40" s="581">
        <v>0</v>
      </c>
    </row>
    <row r="41" spans="1:8">
      <c r="A41" s="581">
        <v>35</v>
      </c>
      <c r="B41" s="581" t="s">
        <v>1554</v>
      </c>
      <c r="C41" s="581">
        <v>1.5475000000000001</v>
      </c>
      <c r="D41" s="581">
        <v>0.56779999999999997</v>
      </c>
      <c r="E41" s="581">
        <v>12.651</v>
      </c>
      <c r="F41" s="581">
        <v>1.0123</v>
      </c>
      <c r="G41" s="581">
        <v>1.3140000000000001</v>
      </c>
      <c r="H41" s="581">
        <v>1.4429000000000001</v>
      </c>
    </row>
    <row r="42" spans="1:8">
      <c r="A42" s="581">
        <v>36</v>
      </c>
      <c r="B42" s="581" t="s">
        <v>1555</v>
      </c>
      <c r="C42" s="581">
        <v>1.5941000000000001</v>
      </c>
      <c r="D42" s="581">
        <v>0.54600000000000004</v>
      </c>
      <c r="E42" s="581">
        <v>13.3476</v>
      </c>
      <c r="F42" s="581">
        <v>1.0581</v>
      </c>
      <c r="G42" s="581">
        <v>1.3380000000000001</v>
      </c>
      <c r="H42" s="581">
        <v>1.4278999999999999</v>
      </c>
    </row>
    <row r="43" spans="1:8">
      <c r="A43" s="581">
        <v>37</v>
      </c>
      <c r="B43" s="581" t="s">
        <v>1556</v>
      </c>
      <c r="C43" s="581">
        <v>1.5343</v>
      </c>
      <c r="D43" s="581">
        <v>0.34889999999999999</v>
      </c>
      <c r="E43" s="581">
        <v>6.5793999999999997</v>
      </c>
      <c r="F43" s="581">
        <v>0.75860000000000005</v>
      </c>
      <c r="G43" s="581">
        <v>1.6214</v>
      </c>
      <c r="H43" s="581">
        <v>2.0823999999999998</v>
      </c>
    </row>
    <row r="44" spans="1:8">
      <c r="A44" s="581">
        <v>38</v>
      </c>
      <c r="B44" s="581" t="s">
        <v>1557</v>
      </c>
      <c r="C44" s="581">
        <v>1.7226999999999999</v>
      </c>
      <c r="D44" s="581">
        <v>0.26079999999999998</v>
      </c>
      <c r="E44" s="581">
        <v>7.0716000000000001</v>
      </c>
      <c r="F44" s="581">
        <v>1.0327</v>
      </c>
      <c r="G44" s="581">
        <v>2.4102000000000001</v>
      </c>
      <c r="H44" s="581">
        <v>2.2553000000000001</v>
      </c>
    </row>
    <row r="45" spans="1:8">
      <c r="A45" s="581">
        <v>39</v>
      </c>
      <c r="B45" s="581" t="s">
        <v>1558</v>
      </c>
      <c r="C45" s="581">
        <v>1.3982000000000001</v>
      </c>
      <c r="D45" s="581">
        <v>0.41299999999999998</v>
      </c>
      <c r="E45" s="581">
        <v>5.5019999999999998</v>
      </c>
      <c r="F45" s="581">
        <v>0.68210000000000004</v>
      </c>
      <c r="G45" s="581">
        <v>1.3018000000000001</v>
      </c>
      <c r="H45" s="581">
        <v>1.9450000000000001</v>
      </c>
    </row>
    <row r="46" spans="1:8">
      <c r="A46" s="581">
        <v>40</v>
      </c>
      <c r="B46" s="581" t="s">
        <v>1559</v>
      </c>
      <c r="C46" s="581">
        <v>1.4374</v>
      </c>
      <c r="D46" s="581">
        <v>0.2107</v>
      </c>
      <c r="E46" s="581">
        <v>3.7581000000000002</v>
      </c>
      <c r="F46" s="581">
        <v>0.81079999999999997</v>
      </c>
      <c r="G46" s="581">
        <v>1.8352999999999999</v>
      </c>
      <c r="H46" s="581">
        <v>2.5905999999999998</v>
      </c>
    </row>
    <row r="47" spans="1:8">
      <c r="A47" s="581">
        <v>41</v>
      </c>
      <c r="B47" s="581" t="s">
        <v>1560</v>
      </c>
      <c r="C47" s="581">
        <v>1.4882</v>
      </c>
      <c r="D47" s="581">
        <v>0.2732</v>
      </c>
      <c r="E47" s="581">
        <v>5.0397999999999996</v>
      </c>
      <c r="F47" s="581">
        <v>0.76939999999999997</v>
      </c>
      <c r="G47" s="581">
        <v>1.7442</v>
      </c>
      <c r="H47" s="581">
        <v>2.681</v>
      </c>
    </row>
    <row r="48" spans="1:8">
      <c r="A48" s="581">
        <v>42</v>
      </c>
      <c r="B48" s="581" t="s">
        <v>1561</v>
      </c>
      <c r="C48" s="581">
        <v>1.5722</v>
      </c>
      <c r="D48" s="581">
        <v>0.30869999999999997</v>
      </c>
      <c r="E48" s="581">
        <v>6.1784999999999997</v>
      </c>
      <c r="F48" s="581">
        <v>0.83160000000000001</v>
      </c>
      <c r="G48" s="581">
        <v>1.8177000000000001</v>
      </c>
      <c r="H48" s="581">
        <v>2.3873000000000002</v>
      </c>
    </row>
    <row r="49" spans="1:8">
      <c r="A49" s="581">
        <v>43</v>
      </c>
      <c r="B49" s="581" t="s">
        <v>1562</v>
      </c>
      <c r="C49" s="581">
        <v>1.6197999999999999</v>
      </c>
      <c r="D49" s="581">
        <v>0.50239999999999996</v>
      </c>
      <c r="E49" s="581">
        <v>8.8048000000000002</v>
      </c>
      <c r="F49" s="581">
        <v>0.90449999999999997</v>
      </c>
      <c r="G49" s="581">
        <v>1.4008</v>
      </c>
      <c r="H49" s="581">
        <v>1.7939000000000001</v>
      </c>
    </row>
    <row r="50" spans="1:8">
      <c r="A50" s="581">
        <v>44</v>
      </c>
      <c r="B50" s="581" t="s">
        <v>1563</v>
      </c>
      <c r="C50" s="581">
        <v>1.4917</v>
      </c>
      <c r="D50" s="581">
        <v>0.4194</v>
      </c>
      <c r="E50" s="581">
        <v>7.0332999999999997</v>
      </c>
      <c r="F50" s="581">
        <v>0.97070000000000001</v>
      </c>
      <c r="G50" s="581">
        <v>1.4162999999999999</v>
      </c>
      <c r="H50" s="581">
        <v>1.7955000000000001</v>
      </c>
    </row>
    <row r="51" spans="1:8">
      <c r="A51" s="581">
        <v>45</v>
      </c>
      <c r="B51" s="581" t="s">
        <v>1564</v>
      </c>
      <c r="C51" s="581">
        <v>1.3875</v>
      </c>
      <c r="D51" s="581">
        <v>0.23280000000000001</v>
      </c>
      <c r="E51" s="581">
        <v>3.6078999999999999</v>
      </c>
      <c r="F51" s="581">
        <v>0.66859999999999997</v>
      </c>
      <c r="G51" s="581">
        <v>1.6484000000000001</v>
      </c>
      <c r="H51" s="581">
        <v>2.5278999999999998</v>
      </c>
    </row>
    <row r="52" spans="1:8">
      <c r="A52" s="581">
        <v>46</v>
      </c>
      <c r="B52" s="581" t="s">
        <v>1565</v>
      </c>
      <c r="C52" s="581">
        <v>1.3375999999999999</v>
      </c>
      <c r="D52" s="581">
        <v>0.11990000000000001</v>
      </c>
      <c r="E52" s="581">
        <v>6.4790000000000001</v>
      </c>
      <c r="F52" s="581">
        <v>0.89370000000000005</v>
      </c>
      <c r="G52" s="581">
        <v>2.3167</v>
      </c>
      <c r="H52" s="581">
        <v>1.4111</v>
      </c>
    </row>
    <row r="53" spans="1:8">
      <c r="A53" s="581">
        <v>47</v>
      </c>
      <c r="B53" s="581" t="s">
        <v>1566</v>
      </c>
      <c r="C53" s="581">
        <v>1.5201</v>
      </c>
      <c r="D53" s="581">
        <v>0.33410000000000001</v>
      </c>
      <c r="E53" s="581">
        <v>6.4440999999999997</v>
      </c>
      <c r="F53" s="581">
        <v>0.95789999999999997</v>
      </c>
      <c r="G53" s="581">
        <v>1.5759000000000001</v>
      </c>
      <c r="H53" s="581">
        <v>2.0085000000000002</v>
      </c>
    </row>
    <row r="54" spans="1:8">
      <c r="A54" s="581">
        <v>48</v>
      </c>
      <c r="B54" s="581" t="s">
        <v>1567</v>
      </c>
      <c r="C54" s="581">
        <v>1.5703</v>
      </c>
      <c r="D54" s="581">
        <v>0.50449999999999995</v>
      </c>
      <c r="E54" s="581">
        <v>9.1418999999999997</v>
      </c>
      <c r="F54" s="581">
        <v>1.0209999999999999</v>
      </c>
      <c r="G54" s="581">
        <v>1.3712</v>
      </c>
      <c r="H54" s="581">
        <v>1.7396</v>
      </c>
    </row>
    <row r="55" spans="1:8">
      <c r="A55" s="581">
        <v>49</v>
      </c>
      <c r="B55" s="581" t="s">
        <v>1568</v>
      </c>
      <c r="C55" s="581">
        <v>1.6380999999999999</v>
      </c>
      <c r="D55" s="581">
        <v>0.6119</v>
      </c>
      <c r="E55" s="581">
        <v>8.0009999999999994</v>
      </c>
      <c r="F55" s="581">
        <v>1.0357000000000001</v>
      </c>
      <c r="G55" s="581">
        <v>1.3381000000000001</v>
      </c>
      <c r="H55" s="581">
        <v>2.1135999999999999</v>
      </c>
    </row>
    <row r="56" spans="1:8">
      <c r="A56" s="581">
        <v>50</v>
      </c>
      <c r="B56" s="581" t="s">
        <v>1569</v>
      </c>
      <c r="C56" s="581">
        <v>1.5395000000000001</v>
      </c>
      <c r="D56" s="581">
        <v>0.4783</v>
      </c>
      <c r="E56" s="581">
        <v>16.829499999999999</v>
      </c>
      <c r="F56" s="581">
        <v>0.96509999999999996</v>
      </c>
      <c r="G56" s="581">
        <v>1.3734999999999999</v>
      </c>
      <c r="H56" s="581">
        <v>1.2822</v>
      </c>
    </row>
    <row r="57" spans="1:8">
      <c r="A57" s="581">
        <v>51</v>
      </c>
      <c r="B57" s="581" t="s">
        <v>1570</v>
      </c>
      <c r="C57" s="581">
        <v>1.5916999999999999</v>
      </c>
      <c r="D57" s="581">
        <v>0.40529999999999999</v>
      </c>
      <c r="E57" s="581">
        <v>8.2088000000000001</v>
      </c>
      <c r="F57" s="581">
        <v>0.86339999999999995</v>
      </c>
      <c r="G57" s="581">
        <v>1.5724</v>
      </c>
      <c r="H57" s="581">
        <v>1.8591</v>
      </c>
    </row>
    <row r="58" spans="1:8">
      <c r="A58" s="581">
        <v>52</v>
      </c>
      <c r="B58" s="581" t="s">
        <v>1571</v>
      </c>
      <c r="C58" s="581">
        <v>1.6718999999999999</v>
      </c>
      <c r="D58" s="581">
        <v>0.61860000000000004</v>
      </c>
      <c r="E58" s="581">
        <v>20.7255</v>
      </c>
      <c r="F58" s="581">
        <v>1.0573999999999999</v>
      </c>
      <c r="G58" s="581">
        <v>1.3159000000000001</v>
      </c>
      <c r="H58" s="581">
        <v>1.2682</v>
      </c>
    </row>
    <row r="59" spans="1:8">
      <c r="A59" s="581">
        <v>53</v>
      </c>
      <c r="B59" s="581" t="s">
        <v>1572</v>
      </c>
      <c r="C59" s="581">
        <v>1.6301000000000001</v>
      </c>
      <c r="D59" s="581">
        <v>0.54390000000000005</v>
      </c>
      <c r="E59" s="581">
        <v>10.899100000000001</v>
      </c>
      <c r="F59" s="581">
        <v>1.0123</v>
      </c>
      <c r="G59" s="581">
        <v>1.3803000000000001</v>
      </c>
      <c r="H59" s="581">
        <v>1.625</v>
      </c>
    </row>
    <row r="60" spans="1:8">
      <c r="A60" s="581">
        <v>54</v>
      </c>
      <c r="B60" s="581" t="s">
        <v>1573</v>
      </c>
      <c r="C60" s="581">
        <v>1.6735</v>
      </c>
      <c r="D60" s="581">
        <v>0.48499999999999999</v>
      </c>
      <c r="E60" s="581">
        <v>10.4704</v>
      </c>
      <c r="F60" s="581">
        <v>0.94620000000000004</v>
      </c>
      <c r="G60" s="581">
        <v>1.4178999999999999</v>
      </c>
      <c r="H60" s="581">
        <v>1.6856</v>
      </c>
    </row>
    <row r="61" spans="1:8">
      <c r="A61" s="581">
        <v>55</v>
      </c>
      <c r="B61" s="581" t="s">
        <v>1574</v>
      </c>
      <c r="C61" s="581">
        <v>1.6235999999999999</v>
      </c>
      <c r="D61" s="581">
        <v>0.58420000000000005</v>
      </c>
      <c r="E61" s="581">
        <v>17.836200000000002</v>
      </c>
      <c r="F61" s="581">
        <v>1.0504</v>
      </c>
      <c r="G61" s="581">
        <v>1.3201000000000001</v>
      </c>
      <c r="H61" s="581">
        <v>1.3076000000000001</v>
      </c>
    </row>
    <row r="62" spans="1:8">
      <c r="A62" s="581">
        <v>56</v>
      </c>
      <c r="B62" s="581" t="s">
        <v>1575</v>
      </c>
      <c r="C62" s="581">
        <v>1.67</v>
      </c>
      <c r="D62" s="581">
        <v>0.61499999999999999</v>
      </c>
      <c r="E62" s="581">
        <v>25.578099999999999</v>
      </c>
      <c r="F62" s="581">
        <v>1.0447</v>
      </c>
      <c r="G62" s="581">
        <v>1.3310999999999999</v>
      </c>
      <c r="H62" s="581">
        <v>1.2133</v>
      </c>
    </row>
    <row r="63" spans="1:8">
      <c r="A63" s="581">
        <v>57</v>
      </c>
      <c r="B63" s="581" t="s">
        <v>1576</v>
      </c>
      <c r="C63" s="581">
        <v>1.5853999999999999</v>
      </c>
      <c r="D63" s="581">
        <v>0.49559999999999998</v>
      </c>
      <c r="E63" s="581">
        <v>16.892299999999999</v>
      </c>
      <c r="F63" s="581">
        <v>0.96060000000000001</v>
      </c>
      <c r="G63" s="581">
        <v>1.3823000000000001</v>
      </c>
      <c r="H63" s="581">
        <v>1.3066</v>
      </c>
    </row>
    <row r="64" spans="1:8">
      <c r="A64" s="581">
        <v>58</v>
      </c>
      <c r="B64" s="581" t="s">
        <v>1577</v>
      </c>
      <c r="C64" s="581">
        <v>1.4807999999999999</v>
      </c>
      <c r="D64" s="581">
        <v>0.38080000000000003</v>
      </c>
      <c r="E64" s="581">
        <v>17.265899999999998</v>
      </c>
      <c r="F64" s="581">
        <v>0.94099999999999995</v>
      </c>
      <c r="G64" s="581">
        <v>1.4105000000000001</v>
      </c>
      <c r="H64" s="581">
        <v>1.2177</v>
      </c>
    </row>
    <row r="65" spans="1:8">
      <c r="A65" s="581">
        <v>59</v>
      </c>
      <c r="B65" s="581" t="s">
        <v>1578</v>
      </c>
      <c r="C65" s="581">
        <v>1.595</v>
      </c>
      <c r="D65" s="581">
        <v>0.40970000000000001</v>
      </c>
      <c r="E65" s="581">
        <v>11.149800000000001</v>
      </c>
      <c r="F65" s="581">
        <v>0.90569999999999995</v>
      </c>
      <c r="G65" s="581">
        <v>1.5388999999999999</v>
      </c>
      <c r="H65" s="581">
        <v>1.5465</v>
      </c>
    </row>
    <row r="66" spans="1:8">
      <c r="A66" s="581">
        <v>60</v>
      </c>
      <c r="B66" s="581" t="s">
        <v>1579</v>
      </c>
      <c r="C66" s="581">
        <v>1.5355000000000001</v>
      </c>
      <c r="D66" s="581">
        <v>0.42159999999999997</v>
      </c>
      <c r="E66" s="581">
        <v>19.626300000000001</v>
      </c>
      <c r="F66" s="581">
        <v>0.86080000000000001</v>
      </c>
      <c r="G66" s="581">
        <v>1.4020999999999999</v>
      </c>
      <c r="H66" s="581">
        <v>1.2091000000000001</v>
      </c>
    </row>
    <row r="67" spans="1:8">
      <c r="A67" s="581">
        <v>61</v>
      </c>
      <c r="B67" s="581" t="s">
        <v>1580</v>
      </c>
      <c r="C67" s="581">
        <v>1.6747000000000001</v>
      </c>
      <c r="D67" s="581">
        <v>0.47099999999999997</v>
      </c>
      <c r="E67" s="581">
        <v>12.180300000000001</v>
      </c>
      <c r="F67" s="581">
        <v>0.96130000000000004</v>
      </c>
      <c r="G67" s="581">
        <v>1.51</v>
      </c>
      <c r="H67" s="581">
        <v>1.5396000000000001</v>
      </c>
    </row>
    <row r="68" spans="1:8">
      <c r="A68" s="581">
        <v>62</v>
      </c>
      <c r="B68" s="581" t="s">
        <v>1581</v>
      </c>
      <c r="C68" s="581">
        <v>0.85229999999999995</v>
      </c>
      <c r="D68" s="581">
        <v>0.2064</v>
      </c>
      <c r="E68" s="581">
        <v>6.1943000000000001</v>
      </c>
      <c r="F68" s="581">
        <v>0.51870000000000005</v>
      </c>
      <c r="G68" s="581">
        <v>0</v>
      </c>
      <c r="H68" s="581">
        <v>0</v>
      </c>
    </row>
    <row r="70" spans="1:8">
      <c r="C70" s="581">
        <f>SUM(C6:C68)</f>
        <v>89.853799999999993</v>
      </c>
      <c r="D70" s="581">
        <f t="shared" ref="D70:H70" si="0">SUM(D6:D68)</f>
        <v>21.164799999999996</v>
      </c>
      <c r="E70" s="581">
        <f t="shared" si="0"/>
        <v>527.06409999999994</v>
      </c>
      <c r="F70" s="581">
        <f t="shared" si="0"/>
        <v>45.936400000000006</v>
      </c>
      <c r="G70" s="581">
        <f t="shared" si="0"/>
        <v>90.024200000000022</v>
      </c>
      <c r="H70" s="581">
        <f t="shared" si="0"/>
        <v>103.56449999999998</v>
      </c>
    </row>
    <row r="71" spans="1:8">
      <c r="C71" s="581">
        <f>C70-SUM(ocean!B2:B63)</f>
        <v>0.91129999999996869</v>
      </c>
      <c r="D71" s="581">
        <f>D70-SUM(ocean!C2:C63)</f>
        <v>-0.27490000000000236</v>
      </c>
      <c r="E71" s="581">
        <f>E70-SUM(ocean!D2:D63)</f>
        <v>-23.602400000000102</v>
      </c>
      <c r="F71" s="581">
        <f>F70-SUM(ocean!E2:E63)</f>
        <v>-1.3445999999999927</v>
      </c>
      <c r="G71" s="581">
        <f>G70-SUM(ocean!F2:F63)</f>
        <v>1.5524000000000058</v>
      </c>
      <c r="H71" s="581">
        <f>H70-SUM(ocean!G2:G63)</f>
        <v>3.8029999999999688</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H71"/>
  <sheetViews>
    <sheetView topLeftCell="A43" workbookViewId="0">
      <selection activeCell="L66" sqref="L66"/>
    </sheetView>
  </sheetViews>
  <sheetFormatPr defaultColWidth="9.109375" defaultRowHeight="14.4"/>
  <cols>
    <col min="1" max="16384" width="9.109375" style="581"/>
  </cols>
  <sheetData>
    <row r="1" spans="1:8">
      <c r="A1" s="581" t="s">
        <v>1513</v>
      </c>
    </row>
    <row r="2" spans="1:8">
      <c r="A2" s="581" t="s">
        <v>1595</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1.4136</v>
      </c>
      <c r="D7" s="581">
        <v>0.28920000000000001</v>
      </c>
      <c r="E7" s="581">
        <v>12.688700000000001</v>
      </c>
      <c r="F7" s="581">
        <v>0.63770000000000004</v>
      </c>
      <c r="G7" s="581">
        <v>1.2210000000000001</v>
      </c>
      <c r="H7" s="581">
        <v>1.1242000000000001</v>
      </c>
    </row>
    <row r="8" spans="1:8">
      <c r="A8" s="581">
        <v>2</v>
      </c>
      <c r="B8" s="581" t="s">
        <v>1521</v>
      </c>
      <c r="C8" s="581">
        <v>1.718</v>
      </c>
      <c r="D8" s="581">
        <v>0.7147</v>
      </c>
      <c r="E8" s="581">
        <v>31.896699999999999</v>
      </c>
      <c r="F8" s="581">
        <v>1.0849</v>
      </c>
      <c r="G8" s="581">
        <v>1.1509</v>
      </c>
      <c r="H8" s="581">
        <v>1.0866</v>
      </c>
    </row>
    <row r="9" spans="1:8">
      <c r="A9" s="581">
        <v>3</v>
      </c>
      <c r="B9" s="581" t="s">
        <v>1522</v>
      </c>
      <c r="C9" s="581">
        <v>1</v>
      </c>
      <c r="D9" s="581">
        <v>0</v>
      </c>
      <c r="E9" s="581">
        <v>0</v>
      </c>
      <c r="F9" s="581">
        <v>0</v>
      </c>
      <c r="G9" s="581">
        <v>0</v>
      </c>
      <c r="H9" s="581">
        <v>0</v>
      </c>
    </row>
    <row r="10" spans="1:8">
      <c r="A10" s="581">
        <v>4</v>
      </c>
      <c r="B10" s="581" t="s">
        <v>1523</v>
      </c>
      <c r="C10" s="581">
        <v>1.5298</v>
      </c>
      <c r="D10" s="581">
        <v>0.11600000000000001</v>
      </c>
      <c r="E10" s="581">
        <v>2.1051000000000002</v>
      </c>
      <c r="F10" s="581">
        <v>0.81499999999999995</v>
      </c>
      <c r="G10" s="581">
        <v>2.0299</v>
      </c>
      <c r="H10" s="581">
        <v>2.4264999999999999</v>
      </c>
    </row>
    <row r="11" spans="1:8">
      <c r="A11" s="581">
        <v>5</v>
      </c>
      <c r="B11" s="581" t="s">
        <v>1524</v>
      </c>
      <c r="C11" s="581">
        <v>1.6811</v>
      </c>
      <c r="D11" s="581">
        <v>0.18909999999999999</v>
      </c>
      <c r="E11" s="581">
        <v>3.9719000000000002</v>
      </c>
      <c r="F11" s="581">
        <v>0.69979999999999998</v>
      </c>
      <c r="G11" s="581">
        <v>1.7052</v>
      </c>
      <c r="H11" s="581">
        <v>1.7091000000000001</v>
      </c>
    </row>
    <row r="12" spans="1:8">
      <c r="A12" s="581">
        <v>6</v>
      </c>
      <c r="B12" s="581" t="s">
        <v>1525</v>
      </c>
      <c r="C12" s="581">
        <v>1.1121000000000001</v>
      </c>
      <c r="D12" s="581">
        <v>5.5500000000000001E-2</v>
      </c>
      <c r="E12" s="581">
        <v>0.75819999999999999</v>
      </c>
      <c r="F12" s="581">
        <v>0.64100000000000001</v>
      </c>
      <c r="G12" s="581">
        <v>1.381</v>
      </c>
      <c r="H12" s="581">
        <v>2.0207999999999999</v>
      </c>
    </row>
    <row r="13" spans="1:8">
      <c r="A13" s="581">
        <v>7</v>
      </c>
      <c r="B13" s="581" t="s">
        <v>1526</v>
      </c>
      <c r="C13" s="581">
        <v>1.5660000000000001</v>
      </c>
      <c r="D13" s="581">
        <v>0.2195</v>
      </c>
      <c r="E13" s="581">
        <v>4.5712000000000002</v>
      </c>
      <c r="F13" s="581">
        <v>0.82010000000000005</v>
      </c>
      <c r="G13" s="581">
        <v>1.4964</v>
      </c>
      <c r="H13" s="581">
        <v>1.6325000000000001</v>
      </c>
    </row>
    <row r="14" spans="1:8">
      <c r="A14" s="581">
        <v>8</v>
      </c>
      <c r="B14" s="581" t="s">
        <v>1527</v>
      </c>
      <c r="C14" s="581">
        <v>1.5163</v>
      </c>
      <c r="D14" s="581">
        <v>0.1762</v>
      </c>
      <c r="E14" s="581">
        <v>4.3209999999999997</v>
      </c>
      <c r="F14" s="581">
        <v>0.57040000000000002</v>
      </c>
      <c r="G14" s="581">
        <v>1.5779000000000001</v>
      </c>
      <c r="H14" s="581">
        <v>1.5172000000000001</v>
      </c>
    </row>
    <row r="15" spans="1:8">
      <c r="A15" s="581">
        <v>9</v>
      </c>
      <c r="B15" s="581" t="s">
        <v>1528</v>
      </c>
      <c r="C15" s="581">
        <v>1.5961000000000001</v>
      </c>
      <c r="D15" s="581">
        <v>0.17949999999999999</v>
      </c>
      <c r="E15" s="581">
        <v>3.6073</v>
      </c>
      <c r="F15" s="581">
        <v>0.7107</v>
      </c>
      <c r="G15" s="581">
        <v>1.6405000000000001</v>
      </c>
      <c r="H15" s="581">
        <v>1.7652000000000001</v>
      </c>
    </row>
    <row r="16" spans="1:8">
      <c r="A16" s="581">
        <v>10</v>
      </c>
      <c r="B16" s="581" t="s">
        <v>1529</v>
      </c>
      <c r="C16" s="581">
        <v>1.5767</v>
      </c>
      <c r="D16" s="581">
        <v>0.1376</v>
      </c>
      <c r="E16" s="581">
        <v>2.5626000000000002</v>
      </c>
      <c r="F16" s="581">
        <v>0.50139999999999996</v>
      </c>
      <c r="G16" s="581">
        <v>1.8264</v>
      </c>
      <c r="H16" s="581">
        <v>2.0739000000000001</v>
      </c>
    </row>
    <row r="17" spans="1:8">
      <c r="A17" s="581">
        <v>11</v>
      </c>
      <c r="B17" s="581" t="s">
        <v>1530</v>
      </c>
      <c r="C17" s="581">
        <v>1.5659000000000001</v>
      </c>
      <c r="D17" s="581">
        <v>0.1583</v>
      </c>
      <c r="E17" s="581">
        <v>3.2410999999999999</v>
      </c>
      <c r="F17" s="581">
        <v>0.69769999999999999</v>
      </c>
      <c r="G17" s="581">
        <v>1.6912</v>
      </c>
      <c r="H17" s="581">
        <v>1.8112999999999999</v>
      </c>
    </row>
    <row r="18" spans="1:8">
      <c r="A18" s="581">
        <v>12</v>
      </c>
      <c r="B18" s="581" t="s">
        <v>1531</v>
      </c>
      <c r="C18" s="581">
        <v>1.6057999999999999</v>
      </c>
      <c r="D18" s="581">
        <v>0.16839999999999999</v>
      </c>
      <c r="E18" s="581">
        <v>3.0466000000000002</v>
      </c>
      <c r="F18" s="581">
        <v>0.67810000000000004</v>
      </c>
      <c r="G18" s="581">
        <v>1.7034</v>
      </c>
      <c r="H18" s="581">
        <v>1.9555</v>
      </c>
    </row>
    <row r="19" spans="1:8">
      <c r="A19" s="581">
        <v>13</v>
      </c>
      <c r="B19" s="581" t="s">
        <v>1532</v>
      </c>
      <c r="C19" s="581">
        <v>1.5335000000000001</v>
      </c>
      <c r="D19" s="581">
        <v>0.2084</v>
      </c>
      <c r="E19" s="581">
        <v>3.2248000000000001</v>
      </c>
      <c r="F19" s="581">
        <v>0.80500000000000005</v>
      </c>
      <c r="G19" s="581">
        <v>1.4631000000000001</v>
      </c>
      <c r="H19" s="581">
        <v>1.8210999999999999</v>
      </c>
    </row>
    <row r="20" spans="1:8">
      <c r="A20" s="581">
        <v>14</v>
      </c>
      <c r="B20" s="581" t="s">
        <v>1533</v>
      </c>
      <c r="C20" s="581">
        <v>1.5334000000000001</v>
      </c>
      <c r="D20" s="581">
        <v>0.1444</v>
      </c>
      <c r="E20" s="581">
        <v>2.7743000000000002</v>
      </c>
      <c r="F20" s="581">
        <v>0.6996</v>
      </c>
      <c r="G20" s="581">
        <v>1.6969000000000001</v>
      </c>
      <c r="H20" s="581">
        <v>1.8329</v>
      </c>
    </row>
    <row r="21" spans="1:8">
      <c r="A21" s="581">
        <v>15</v>
      </c>
      <c r="B21" s="581" t="s">
        <v>1534</v>
      </c>
      <c r="C21" s="581">
        <v>1.5868</v>
      </c>
      <c r="D21" s="581">
        <v>0.1167</v>
      </c>
      <c r="E21" s="581">
        <v>2.2248000000000001</v>
      </c>
      <c r="F21" s="581">
        <v>0.51619999999999999</v>
      </c>
      <c r="G21" s="581">
        <v>2.2281</v>
      </c>
      <c r="H21" s="581">
        <v>2.5322</v>
      </c>
    </row>
    <row r="22" spans="1:8">
      <c r="A22" s="581">
        <v>16</v>
      </c>
      <c r="B22" s="581" t="s">
        <v>1535</v>
      </c>
      <c r="C22" s="581">
        <v>1.6048</v>
      </c>
      <c r="D22" s="581">
        <v>0.115</v>
      </c>
      <c r="E22" s="581">
        <v>2.3443000000000001</v>
      </c>
      <c r="F22" s="581">
        <v>0.68330000000000002</v>
      </c>
      <c r="G22" s="581">
        <v>2.7136999999999998</v>
      </c>
      <c r="H22" s="581">
        <v>2.9165999999999999</v>
      </c>
    </row>
    <row r="23" spans="1:8">
      <c r="A23" s="581">
        <v>17</v>
      </c>
      <c r="B23" s="581" t="s">
        <v>1536</v>
      </c>
      <c r="C23" s="581">
        <v>1.6033999999999999</v>
      </c>
      <c r="D23" s="581">
        <v>0.19639999999999999</v>
      </c>
      <c r="E23" s="581">
        <v>4.5191999999999997</v>
      </c>
      <c r="F23" s="581">
        <v>0.72419999999999995</v>
      </c>
      <c r="G23" s="581">
        <v>1.5927</v>
      </c>
      <c r="H23" s="581">
        <v>1.6061000000000001</v>
      </c>
    </row>
    <row r="24" spans="1:8">
      <c r="A24" s="581">
        <v>18</v>
      </c>
      <c r="B24" s="581" t="s">
        <v>1537</v>
      </c>
      <c r="C24" s="581">
        <v>1.5454000000000001</v>
      </c>
      <c r="D24" s="581">
        <v>0.16239999999999999</v>
      </c>
      <c r="E24" s="581">
        <v>2.9857</v>
      </c>
      <c r="F24" s="581">
        <v>0.81299999999999994</v>
      </c>
      <c r="G24" s="581">
        <v>1.6415999999999999</v>
      </c>
      <c r="H24" s="581">
        <v>1.9081999999999999</v>
      </c>
    </row>
    <row r="25" spans="1:8">
      <c r="A25" s="581">
        <v>19</v>
      </c>
      <c r="B25" s="581" t="s">
        <v>1538</v>
      </c>
      <c r="C25" s="581">
        <v>1.5891</v>
      </c>
      <c r="D25" s="581">
        <v>0.1105</v>
      </c>
      <c r="E25" s="581">
        <v>2.4308999999999998</v>
      </c>
      <c r="F25" s="581">
        <v>0.54890000000000005</v>
      </c>
      <c r="G25" s="581">
        <v>2.2704</v>
      </c>
      <c r="H25" s="581">
        <v>2.2860999999999998</v>
      </c>
    </row>
    <row r="26" spans="1:8">
      <c r="A26" s="581">
        <v>20</v>
      </c>
      <c r="B26" s="581" t="s">
        <v>1539</v>
      </c>
      <c r="C26" s="581">
        <v>1.546</v>
      </c>
      <c r="D26" s="581">
        <v>0.16059999999999999</v>
      </c>
      <c r="E26" s="581">
        <v>3.7465000000000002</v>
      </c>
      <c r="F26" s="581">
        <v>0.57879999999999998</v>
      </c>
      <c r="G26" s="581">
        <v>1.6247</v>
      </c>
      <c r="H26" s="581">
        <v>1.5839000000000001</v>
      </c>
    </row>
    <row r="27" spans="1:8">
      <c r="A27" s="581">
        <v>21</v>
      </c>
      <c r="B27" s="581" t="s">
        <v>1540</v>
      </c>
      <c r="C27" s="581">
        <v>1.7747999999999999</v>
      </c>
      <c r="D27" s="581">
        <v>0.2225</v>
      </c>
      <c r="E27" s="581">
        <v>5.7043999999999997</v>
      </c>
      <c r="F27" s="581">
        <v>0.82179999999999997</v>
      </c>
      <c r="G27" s="581">
        <v>1.7215</v>
      </c>
      <c r="H27" s="581">
        <v>1.6477999999999999</v>
      </c>
    </row>
    <row r="28" spans="1:8">
      <c r="A28" s="581">
        <v>22</v>
      </c>
      <c r="B28" s="581" t="s">
        <v>1541</v>
      </c>
      <c r="C28" s="581">
        <v>1.5225</v>
      </c>
      <c r="D28" s="581">
        <v>0.1464</v>
      </c>
      <c r="E28" s="581">
        <v>2.6656</v>
      </c>
      <c r="F28" s="581">
        <v>0.63980000000000004</v>
      </c>
      <c r="G28" s="581">
        <v>1.6715</v>
      </c>
      <c r="H28" s="581">
        <v>1.9328000000000001</v>
      </c>
    </row>
    <row r="29" spans="1:8">
      <c r="A29" s="581">
        <v>23</v>
      </c>
      <c r="B29" s="581" t="s">
        <v>1542</v>
      </c>
      <c r="C29" s="581">
        <v>1.6079000000000001</v>
      </c>
      <c r="D29" s="581">
        <v>0.1653</v>
      </c>
      <c r="E29" s="581">
        <v>3.5531999999999999</v>
      </c>
      <c r="F29" s="581">
        <v>0.70950000000000002</v>
      </c>
      <c r="G29" s="581">
        <v>1.8416999999999999</v>
      </c>
      <c r="H29" s="581">
        <v>2.0135000000000001</v>
      </c>
    </row>
    <row r="30" spans="1:8">
      <c r="A30" s="581">
        <v>24</v>
      </c>
      <c r="B30" s="581" t="s">
        <v>1543</v>
      </c>
      <c r="C30" s="581">
        <v>1.1275999999999999</v>
      </c>
      <c r="D30" s="581">
        <v>4.9500000000000002E-2</v>
      </c>
      <c r="E30" s="581">
        <v>0.70340000000000003</v>
      </c>
      <c r="F30" s="581">
        <v>0.27750000000000002</v>
      </c>
      <c r="G30" s="581">
        <v>1.4269000000000001</v>
      </c>
      <c r="H30" s="581">
        <v>1.9275</v>
      </c>
    </row>
    <row r="31" spans="1:8">
      <c r="A31" s="581">
        <v>25</v>
      </c>
      <c r="B31" s="581" t="s">
        <v>1544</v>
      </c>
      <c r="C31" s="581">
        <v>1.4234</v>
      </c>
      <c r="D31" s="581">
        <v>8.8800000000000004E-2</v>
      </c>
      <c r="E31" s="581">
        <v>1.28</v>
      </c>
      <c r="F31" s="581">
        <v>0.55400000000000005</v>
      </c>
      <c r="G31" s="581">
        <v>1.9461999999999999</v>
      </c>
      <c r="H31" s="581">
        <v>2.968</v>
      </c>
    </row>
    <row r="32" spans="1:8">
      <c r="A32" s="581">
        <v>26</v>
      </c>
      <c r="B32" s="581" t="s">
        <v>1545</v>
      </c>
      <c r="C32" s="581">
        <v>1.6053999999999999</v>
      </c>
      <c r="D32" s="581">
        <v>0.15010000000000001</v>
      </c>
      <c r="E32" s="581">
        <v>3.0714000000000001</v>
      </c>
      <c r="F32" s="581">
        <v>0.629</v>
      </c>
      <c r="G32" s="581">
        <v>1.7193000000000001</v>
      </c>
      <c r="H32" s="581">
        <v>1.7818000000000001</v>
      </c>
    </row>
    <row r="33" spans="1:8">
      <c r="A33" s="581">
        <v>27</v>
      </c>
      <c r="B33" s="581" t="s">
        <v>1546</v>
      </c>
      <c r="C33" s="581">
        <v>1.4416</v>
      </c>
      <c r="D33" s="581">
        <v>0.16969999999999999</v>
      </c>
      <c r="E33" s="581">
        <v>2.9468000000000001</v>
      </c>
      <c r="F33" s="581">
        <v>0.91369999999999996</v>
      </c>
      <c r="G33" s="581">
        <v>1.5521</v>
      </c>
      <c r="H33" s="581">
        <v>2.0234999999999999</v>
      </c>
    </row>
    <row r="34" spans="1:8">
      <c r="A34" s="581">
        <v>28</v>
      </c>
      <c r="B34" s="581" t="s">
        <v>1547</v>
      </c>
      <c r="C34" s="581">
        <v>1.4646999999999999</v>
      </c>
      <c r="D34" s="581">
        <v>0.21579999999999999</v>
      </c>
      <c r="E34" s="581">
        <v>7.0972</v>
      </c>
      <c r="F34" s="581">
        <v>0.95099999999999996</v>
      </c>
      <c r="G34" s="581">
        <v>1.3774</v>
      </c>
      <c r="H34" s="581">
        <v>1.2876000000000001</v>
      </c>
    </row>
    <row r="35" spans="1:8">
      <c r="A35" s="581">
        <v>29</v>
      </c>
      <c r="B35" s="581" t="s">
        <v>1548</v>
      </c>
      <c r="C35" s="581">
        <v>1.3414999999999999</v>
      </c>
      <c r="D35" s="581">
        <v>0.15939999999999999</v>
      </c>
      <c r="E35" s="581">
        <v>3.1322000000000001</v>
      </c>
      <c r="F35" s="581">
        <v>0.56399999999999995</v>
      </c>
      <c r="G35" s="581">
        <v>1.421</v>
      </c>
      <c r="H35" s="581">
        <v>1.6548</v>
      </c>
    </row>
    <row r="36" spans="1:8">
      <c r="A36" s="581">
        <v>30</v>
      </c>
      <c r="B36" s="581" t="s">
        <v>1549</v>
      </c>
      <c r="C36" s="581">
        <v>1.6294999999999999</v>
      </c>
      <c r="D36" s="581">
        <v>0.2732</v>
      </c>
      <c r="E36" s="581">
        <v>4.5788000000000002</v>
      </c>
      <c r="F36" s="581">
        <v>0.77410000000000001</v>
      </c>
      <c r="G36" s="581">
        <v>1.4374</v>
      </c>
      <c r="H36" s="581">
        <v>1.7739</v>
      </c>
    </row>
    <row r="37" spans="1:8">
      <c r="A37" s="581">
        <v>31</v>
      </c>
      <c r="B37" s="581" t="s">
        <v>1550</v>
      </c>
      <c r="C37" s="581">
        <v>1.3634999999999999</v>
      </c>
      <c r="D37" s="581">
        <v>0.1565</v>
      </c>
      <c r="E37" s="581">
        <v>2.4022999999999999</v>
      </c>
      <c r="F37" s="581">
        <v>0.58530000000000004</v>
      </c>
      <c r="G37" s="581">
        <v>1.5148999999999999</v>
      </c>
      <c r="H37" s="581">
        <v>2.2195999999999998</v>
      </c>
    </row>
    <row r="38" spans="1:8">
      <c r="A38" s="581">
        <v>32</v>
      </c>
      <c r="B38" s="581" t="s">
        <v>1551</v>
      </c>
      <c r="C38" s="581">
        <v>1.4803999999999999</v>
      </c>
      <c r="D38" s="581">
        <v>0.20019999999999999</v>
      </c>
      <c r="E38" s="581">
        <v>4.5446</v>
      </c>
      <c r="F38" s="581">
        <v>0.72130000000000005</v>
      </c>
      <c r="G38" s="581">
        <v>1.5820000000000001</v>
      </c>
      <c r="H38" s="581">
        <v>1.7453000000000001</v>
      </c>
    </row>
    <row r="39" spans="1:8">
      <c r="A39" s="581">
        <v>33</v>
      </c>
      <c r="B39" s="581" t="s">
        <v>1552</v>
      </c>
      <c r="C39" s="581">
        <v>1.5627</v>
      </c>
      <c r="D39" s="581">
        <v>0.43030000000000002</v>
      </c>
      <c r="E39" s="581">
        <v>16.6309</v>
      </c>
      <c r="F39" s="581">
        <v>0.878</v>
      </c>
      <c r="G39" s="581">
        <v>1.2166999999999999</v>
      </c>
      <c r="H39" s="581">
        <v>1.1355999999999999</v>
      </c>
    </row>
    <row r="40" spans="1:8">
      <c r="A40" s="581">
        <v>34</v>
      </c>
      <c r="B40" s="581" t="s">
        <v>1553</v>
      </c>
      <c r="C40" s="581">
        <v>1</v>
      </c>
      <c r="D40" s="581">
        <v>0</v>
      </c>
      <c r="E40" s="581">
        <v>0</v>
      </c>
      <c r="F40" s="581">
        <v>0</v>
      </c>
      <c r="G40" s="581">
        <v>0</v>
      </c>
      <c r="H40" s="581">
        <v>0</v>
      </c>
    </row>
    <row r="41" spans="1:8">
      <c r="A41" s="581">
        <v>35</v>
      </c>
      <c r="B41" s="581" t="s">
        <v>1554</v>
      </c>
      <c r="C41" s="581">
        <v>1.4781</v>
      </c>
      <c r="D41" s="581">
        <v>0.37869999999999998</v>
      </c>
      <c r="E41" s="581">
        <v>8.2070000000000007</v>
      </c>
      <c r="F41" s="581">
        <v>0.96660000000000001</v>
      </c>
      <c r="G41" s="581">
        <v>1.2185999999999999</v>
      </c>
      <c r="H41" s="581">
        <v>1.3017000000000001</v>
      </c>
    </row>
    <row r="42" spans="1:8">
      <c r="A42" s="581">
        <v>36</v>
      </c>
      <c r="B42" s="581" t="s">
        <v>1555</v>
      </c>
      <c r="C42" s="581">
        <v>1.5743</v>
      </c>
      <c r="D42" s="581">
        <v>0.36980000000000002</v>
      </c>
      <c r="E42" s="581">
        <v>8.8560999999999996</v>
      </c>
      <c r="F42" s="581">
        <v>1.044</v>
      </c>
      <c r="G42" s="581">
        <v>1.2713000000000001</v>
      </c>
      <c r="H42" s="581">
        <v>1.3290999999999999</v>
      </c>
    </row>
    <row r="43" spans="1:8">
      <c r="A43" s="581">
        <v>37</v>
      </c>
      <c r="B43" s="581" t="s">
        <v>1556</v>
      </c>
      <c r="C43" s="581">
        <v>1.6393</v>
      </c>
      <c r="D43" s="581">
        <v>0.1963</v>
      </c>
      <c r="E43" s="581">
        <v>3.9005999999999998</v>
      </c>
      <c r="F43" s="581">
        <v>0.82</v>
      </c>
      <c r="G43" s="581">
        <v>1.8424</v>
      </c>
      <c r="H43" s="581">
        <v>2.4929000000000001</v>
      </c>
    </row>
    <row r="44" spans="1:8">
      <c r="A44" s="581">
        <v>38</v>
      </c>
      <c r="B44" s="581" t="s">
        <v>1557</v>
      </c>
      <c r="C44" s="581">
        <v>1.3634999999999999</v>
      </c>
      <c r="D44" s="581">
        <v>0.1191</v>
      </c>
      <c r="E44" s="581">
        <v>3.3229000000000002</v>
      </c>
      <c r="F44" s="581">
        <v>0.81789999999999996</v>
      </c>
      <c r="G44" s="581">
        <v>1.6774</v>
      </c>
      <c r="H44" s="581">
        <v>1.6146</v>
      </c>
    </row>
    <row r="45" spans="1:8">
      <c r="A45" s="581">
        <v>39</v>
      </c>
      <c r="B45" s="581" t="s">
        <v>1558</v>
      </c>
      <c r="C45" s="581">
        <v>1.2524</v>
      </c>
      <c r="D45" s="581">
        <v>0.17730000000000001</v>
      </c>
      <c r="E45" s="581">
        <v>2.1495000000000002</v>
      </c>
      <c r="F45" s="581">
        <v>0.59360000000000002</v>
      </c>
      <c r="G45" s="581">
        <v>1.2241</v>
      </c>
      <c r="H45" s="581">
        <v>1.6646000000000001</v>
      </c>
    </row>
    <row r="46" spans="1:8">
      <c r="A46" s="581">
        <v>40</v>
      </c>
      <c r="B46" s="581" t="s">
        <v>1559</v>
      </c>
      <c r="C46" s="581">
        <v>1.4475</v>
      </c>
      <c r="D46" s="581">
        <v>9.5600000000000004E-2</v>
      </c>
      <c r="E46" s="581">
        <v>1.7605</v>
      </c>
      <c r="F46" s="581">
        <v>0.81299999999999994</v>
      </c>
      <c r="G46" s="581">
        <v>2.1941999999999999</v>
      </c>
      <c r="H46" s="581">
        <v>3.1960000000000002</v>
      </c>
    </row>
    <row r="47" spans="1:8">
      <c r="A47" s="581">
        <v>41</v>
      </c>
      <c r="B47" s="581" t="s">
        <v>1560</v>
      </c>
      <c r="C47" s="581">
        <v>1.5309999999999999</v>
      </c>
      <c r="D47" s="581">
        <v>0.1134</v>
      </c>
      <c r="E47" s="581">
        <v>2.3458000000000001</v>
      </c>
      <c r="F47" s="581">
        <v>0.79320000000000002</v>
      </c>
      <c r="G47" s="581">
        <v>2.6913999999999998</v>
      </c>
      <c r="H47" s="581">
        <v>4.6409000000000002</v>
      </c>
    </row>
    <row r="48" spans="1:8">
      <c r="A48" s="581">
        <v>42</v>
      </c>
      <c r="B48" s="581" t="s">
        <v>1561</v>
      </c>
      <c r="C48" s="581">
        <v>1.5924</v>
      </c>
      <c r="D48" s="581">
        <v>0.16639999999999999</v>
      </c>
      <c r="E48" s="581">
        <v>3.2667999999999999</v>
      </c>
      <c r="F48" s="581">
        <v>0.84130000000000005</v>
      </c>
      <c r="G48" s="581">
        <v>1.8701000000000001</v>
      </c>
      <c r="H48" s="581">
        <v>2.4083999999999999</v>
      </c>
    </row>
    <row r="49" spans="1:8">
      <c r="A49" s="581">
        <v>43</v>
      </c>
      <c r="B49" s="581" t="s">
        <v>1562</v>
      </c>
      <c r="C49" s="581">
        <v>1.5339</v>
      </c>
      <c r="D49" s="581">
        <v>0.1867</v>
      </c>
      <c r="E49" s="581">
        <v>3.2930999999999999</v>
      </c>
      <c r="F49" s="581">
        <v>0.85109999999999997</v>
      </c>
      <c r="G49" s="581">
        <v>1.5752999999999999</v>
      </c>
      <c r="H49" s="581">
        <v>2.0305</v>
      </c>
    </row>
    <row r="50" spans="1:8">
      <c r="A50" s="581">
        <v>44</v>
      </c>
      <c r="B50" s="581" t="s">
        <v>1563</v>
      </c>
      <c r="C50" s="581">
        <v>1.4936</v>
      </c>
      <c r="D50" s="581">
        <v>0.1605</v>
      </c>
      <c r="E50" s="581">
        <v>2.6200999999999999</v>
      </c>
      <c r="F50" s="581">
        <v>0.97550000000000003</v>
      </c>
      <c r="G50" s="581">
        <v>1.5873999999999999</v>
      </c>
      <c r="H50" s="581">
        <v>1.9594</v>
      </c>
    </row>
    <row r="51" spans="1:8">
      <c r="A51" s="581">
        <v>45</v>
      </c>
      <c r="B51" s="581" t="s">
        <v>1564</v>
      </c>
      <c r="C51" s="581">
        <v>1.3909</v>
      </c>
      <c r="D51" s="581">
        <v>9.2600000000000002E-2</v>
      </c>
      <c r="E51" s="581">
        <v>1.4548000000000001</v>
      </c>
      <c r="F51" s="581">
        <v>0.66659999999999997</v>
      </c>
      <c r="G51" s="581">
        <v>1.9841</v>
      </c>
      <c r="H51" s="581">
        <v>3.0847000000000002</v>
      </c>
    </row>
    <row r="52" spans="1:8">
      <c r="A52" s="581">
        <v>46</v>
      </c>
      <c r="B52" s="581" t="s">
        <v>1565</v>
      </c>
      <c r="C52" s="581">
        <v>1.3878999999999999</v>
      </c>
      <c r="D52" s="581">
        <v>7.2700000000000001E-2</v>
      </c>
      <c r="E52" s="581">
        <v>3.6482000000000001</v>
      </c>
      <c r="F52" s="581">
        <v>0.92010000000000003</v>
      </c>
      <c r="G52" s="581">
        <v>2.5857000000000001</v>
      </c>
      <c r="H52" s="581">
        <v>1.4618</v>
      </c>
    </row>
    <row r="53" spans="1:8">
      <c r="A53" s="581">
        <v>47</v>
      </c>
      <c r="B53" s="581" t="s">
        <v>1566</v>
      </c>
      <c r="C53" s="581">
        <v>1.4796</v>
      </c>
      <c r="D53" s="581">
        <v>0.1</v>
      </c>
      <c r="E53" s="581">
        <v>2.0419999999999998</v>
      </c>
      <c r="F53" s="581">
        <v>0.93569999999999998</v>
      </c>
      <c r="G53" s="581">
        <v>2.5745</v>
      </c>
      <c r="H53" s="581">
        <v>3.4729000000000001</v>
      </c>
    </row>
    <row r="54" spans="1:8">
      <c r="A54" s="581">
        <v>48</v>
      </c>
      <c r="B54" s="581" t="s">
        <v>1567</v>
      </c>
      <c r="C54" s="581">
        <v>1.4886999999999999</v>
      </c>
      <c r="D54" s="581">
        <v>0.25700000000000001</v>
      </c>
      <c r="E54" s="581">
        <v>4.5354999999999999</v>
      </c>
      <c r="F54" s="581">
        <v>0.96989999999999998</v>
      </c>
      <c r="G54" s="581">
        <v>1.3576999999999999</v>
      </c>
      <c r="H54" s="581">
        <v>1.6776</v>
      </c>
    </row>
    <row r="55" spans="1:8">
      <c r="A55" s="581">
        <v>49</v>
      </c>
      <c r="B55" s="581" t="s">
        <v>1568</v>
      </c>
      <c r="C55" s="581">
        <v>1.4128000000000001</v>
      </c>
      <c r="D55" s="581">
        <v>0.15359999999999999</v>
      </c>
      <c r="E55" s="581">
        <v>2.1311</v>
      </c>
      <c r="F55" s="581">
        <v>0.89600000000000002</v>
      </c>
      <c r="G55" s="581">
        <v>1.5442</v>
      </c>
      <c r="H55" s="581">
        <v>2.5886</v>
      </c>
    </row>
    <row r="56" spans="1:8">
      <c r="A56" s="581">
        <v>50</v>
      </c>
      <c r="B56" s="581" t="s">
        <v>1569</v>
      </c>
      <c r="C56" s="581">
        <v>1.5893999999999999</v>
      </c>
      <c r="D56" s="581">
        <v>0.35670000000000002</v>
      </c>
      <c r="E56" s="581">
        <v>12.629799999999999</v>
      </c>
      <c r="F56" s="581">
        <v>0.99439999999999995</v>
      </c>
      <c r="G56" s="581">
        <v>1.3023</v>
      </c>
      <c r="H56" s="581">
        <v>1.2232000000000001</v>
      </c>
    </row>
    <row r="57" spans="1:8">
      <c r="A57" s="581">
        <v>51</v>
      </c>
      <c r="B57" s="581" t="s">
        <v>1570</v>
      </c>
      <c r="C57" s="581">
        <v>1.734</v>
      </c>
      <c r="D57" s="581">
        <v>0.37280000000000002</v>
      </c>
      <c r="E57" s="581">
        <v>7.1920000000000002</v>
      </c>
      <c r="F57" s="581">
        <v>0.94810000000000005</v>
      </c>
      <c r="G57" s="581">
        <v>1.4460999999999999</v>
      </c>
      <c r="H57" s="581">
        <v>1.6288</v>
      </c>
    </row>
    <row r="58" spans="1:8">
      <c r="A58" s="581">
        <v>52</v>
      </c>
      <c r="B58" s="581" t="s">
        <v>1571</v>
      </c>
      <c r="C58" s="581">
        <v>1.5749</v>
      </c>
      <c r="D58" s="581">
        <v>0.34720000000000001</v>
      </c>
      <c r="E58" s="581">
        <v>11.5959</v>
      </c>
      <c r="F58" s="581">
        <v>0.99260000000000004</v>
      </c>
      <c r="G58" s="581">
        <v>1.2565</v>
      </c>
      <c r="H58" s="581">
        <v>1.2071000000000001</v>
      </c>
    </row>
    <row r="59" spans="1:8">
      <c r="A59" s="581">
        <v>53</v>
      </c>
      <c r="B59" s="581" t="s">
        <v>1572</v>
      </c>
      <c r="C59" s="581">
        <v>1.6112</v>
      </c>
      <c r="D59" s="581">
        <v>0.3216</v>
      </c>
      <c r="E59" s="581">
        <v>6.2606999999999999</v>
      </c>
      <c r="F59" s="581">
        <v>0.99890000000000001</v>
      </c>
      <c r="G59" s="581">
        <v>1.3492</v>
      </c>
      <c r="H59" s="581">
        <v>1.5428999999999999</v>
      </c>
    </row>
    <row r="60" spans="1:8">
      <c r="A60" s="581">
        <v>54</v>
      </c>
      <c r="B60" s="581" t="s">
        <v>1573</v>
      </c>
      <c r="C60" s="581">
        <v>1.6919999999999999</v>
      </c>
      <c r="D60" s="581">
        <v>0.2777</v>
      </c>
      <c r="E60" s="581">
        <v>5.8291000000000004</v>
      </c>
      <c r="F60" s="581">
        <v>0.9506</v>
      </c>
      <c r="G60" s="581">
        <v>1.4306000000000001</v>
      </c>
      <c r="H60" s="581">
        <v>1.6537999999999999</v>
      </c>
    </row>
    <row r="61" spans="1:8">
      <c r="A61" s="581">
        <v>55</v>
      </c>
      <c r="B61" s="581" t="s">
        <v>1574</v>
      </c>
      <c r="C61" s="581">
        <v>1.6702999999999999</v>
      </c>
      <c r="D61" s="581">
        <v>0.436</v>
      </c>
      <c r="E61" s="581">
        <v>13.179</v>
      </c>
      <c r="F61" s="581">
        <v>1.0722</v>
      </c>
      <c r="G61" s="581">
        <v>1.2486999999999999</v>
      </c>
      <c r="H61" s="581">
        <v>1.2244999999999999</v>
      </c>
    </row>
    <row r="62" spans="1:8">
      <c r="A62" s="581">
        <v>56</v>
      </c>
      <c r="B62" s="581" t="s">
        <v>1575</v>
      </c>
      <c r="C62" s="581">
        <v>1.6446000000000001</v>
      </c>
      <c r="D62" s="581">
        <v>0.39860000000000001</v>
      </c>
      <c r="E62" s="581">
        <v>16.6907</v>
      </c>
      <c r="F62" s="581">
        <v>1.0238</v>
      </c>
      <c r="G62" s="581">
        <v>1.2685999999999999</v>
      </c>
      <c r="H62" s="581">
        <v>1.1640999999999999</v>
      </c>
    </row>
    <row r="63" spans="1:8">
      <c r="A63" s="581">
        <v>57</v>
      </c>
      <c r="B63" s="581" t="s">
        <v>1576</v>
      </c>
      <c r="C63" s="581">
        <v>1.5616000000000001</v>
      </c>
      <c r="D63" s="581">
        <v>0.20860000000000001</v>
      </c>
      <c r="E63" s="581">
        <v>6.907</v>
      </c>
      <c r="F63" s="581">
        <v>0.94789999999999996</v>
      </c>
      <c r="G63" s="581">
        <v>1.5972999999999999</v>
      </c>
      <c r="H63" s="581">
        <v>1.4666999999999999</v>
      </c>
    </row>
    <row r="64" spans="1:8">
      <c r="A64" s="581">
        <v>58</v>
      </c>
      <c r="B64" s="581" t="s">
        <v>1577</v>
      </c>
      <c r="C64" s="581">
        <v>1.4994000000000001</v>
      </c>
      <c r="D64" s="581">
        <v>0.22220000000000001</v>
      </c>
      <c r="E64" s="581">
        <v>10.0991</v>
      </c>
      <c r="F64" s="581">
        <v>0.95030000000000003</v>
      </c>
      <c r="G64" s="581">
        <v>1.3718999999999999</v>
      </c>
      <c r="H64" s="581">
        <v>1.1869000000000001</v>
      </c>
    </row>
    <row r="65" spans="1:8">
      <c r="A65" s="581">
        <v>59</v>
      </c>
      <c r="B65" s="581" t="s">
        <v>1578</v>
      </c>
      <c r="C65" s="581">
        <v>1.6587000000000001</v>
      </c>
      <c r="D65" s="581">
        <v>0.28799999999999998</v>
      </c>
      <c r="E65" s="581">
        <v>7.7081</v>
      </c>
      <c r="F65" s="581">
        <v>0.94110000000000005</v>
      </c>
      <c r="G65" s="581">
        <v>1.4494</v>
      </c>
      <c r="H65" s="581">
        <v>1.4325000000000001</v>
      </c>
    </row>
    <row r="66" spans="1:8">
      <c r="A66" s="581">
        <v>60</v>
      </c>
      <c r="B66" s="581" t="s">
        <v>1579</v>
      </c>
      <c r="C66" s="581">
        <v>1.5797000000000001</v>
      </c>
      <c r="D66" s="581">
        <v>0.25729999999999997</v>
      </c>
      <c r="E66" s="581">
        <v>11.903499999999999</v>
      </c>
      <c r="F66" s="581">
        <v>0.876</v>
      </c>
      <c r="G66" s="581">
        <v>1.3712</v>
      </c>
      <c r="H66" s="581">
        <v>1.175</v>
      </c>
    </row>
    <row r="67" spans="1:8">
      <c r="A67" s="581">
        <v>61</v>
      </c>
      <c r="B67" s="581" t="s">
        <v>1580</v>
      </c>
      <c r="C67" s="581">
        <v>1.7027000000000001</v>
      </c>
      <c r="D67" s="581">
        <v>0.3478</v>
      </c>
      <c r="E67" s="581">
        <v>8.8968000000000007</v>
      </c>
      <c r="F67" s="581">
        <v>0.97260000000000002</v>
      </c>
      <c r="G67" s="581">
        <v>1.3720000000000001</v>
      </c>
      <c r="H67" s="581">
        <v>1.3836999999999999</v>
      </c>
    </row>
    <row r="68" spans="1:8">
      <c r="A68" s="581">
        <v>62</v>
      </c>
      <c r="B68" s="581" t="s">
        <v>1581</v>
      </c>
      <c r="C68" s="581">
        <v>0.91579999999999995</v>
      </c>
      <c r="D68" s="581">
        <v>0.12529999999999999</v>
      </c>
      <c r="E68" s="581">
        <v>3.6070000000000002</v>
      </c>
      <c r="F68" s="581">
        <v>0.55200000000000005</v>
      </c>
      <c r="G68" s="581">
        <v>0</v>
      </c>
      <c r="H68" s="581">
        <v>0</v>
      </c>
    </row>
    <row r="70" spans="1:8">
      <c r="C70" s="581">
        <f>SUM(C6:C68)</f>
        <v>93.269499999999979</v>
      </c>
      <c r="D70" s="581">
        <f t="shared" ref="D70:H70" si="0">SUM(D6:D68)</f>
        <v>12.645600000000002</v>
      </c>
      <c r="E70" s="581">
        <f t="shared" si="0"/>
        <v>331.36439999999999</v>
      </c>
      <c r="F70" s="581">
        <f t="shared" si="0"/>
        <v>47.369799999999991</v>
      </c>
      <c r="G70" s="581">
        <f t="shared" si="0"/>
        <v>96.745799999999988</v>
      </c>
      <c r="H70" s="581">
        <f t="shared" si="0"/>
        <v>110.9345</v>
      </c>
    </row>
    <row r="71" spans="1:8">
      <c r="C71" s="581">
        <f>C70-SUM(passaic!B2:B63)</f>
        <v>1.9834000000000032</v>
      </c>
      <c r="D71" s="581">
        <f>D70-SUM(passaic!C2:C63)</f>
        <v>6.3000000000066336E-3</v>
      </c>
      <c r="E71" s="581">
        <f>E70-SUM(passaic!D2:D63)</f>
        <v>-4.6488999999999692</v>
      </c>
      <c r="F71" s="581">
        <f>F70-SUM(passaic!E2:E63)</f>
        <v>-0.654100000000021</v>
      </c>
      <c r="G71" s="581">
        <f>G70-SUM(passaic!F2:F63)</f>
        <v>2.1132000000000204</v>
      </c>
      <c r="H71" s="581">
        <f>H70-SUM(passaic!G2:G63)</f>
        <v>6.5341999999999985</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H71"/>
  <sheetViews>
    <sheetView topLeftCell="A43" workbookViewId="0">
      <selection activeCell="D71" sqref="D71:H71"/>
    </sheetView>
  </sheetViews>
  <sheetFormatPr defaultColWidth="9.109375" defaultRowHeight="14.4"/>
  <cols>
    <col min="1" max="16384" width="9.109375" style="581"/>
  </cols>
  <sheetData>
    <row r="1" spans="1:8">
      <c r="A1" s="581" t="s">
        <v>1513</v>
      </c>
    </row>
    <row r="2" spans="1:8">
      <c r="A2" s="581" t="s">
        <v>1597</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1.3251999999999999</v>
      </c>
      <c r="D7" s="581">
        <v>0.2923</v>
      </c>
      <c r="E7" s="581">
        <v>13.028499999999999</v>
      </c>
      <c r="F7" s="581">
        <v>0.57320000000000004</v>
      </c>
      <c r="G7" s="581">
        <v>1.2642</v>
      </c>
      <c r="H7" s="581">
        <v>1.1825000000000001</v>
      </c>
    </row>
    <row r="8" spans="1:8">
      <c r="A8" s="581">
        <v>2</v>
      </c>
      <c r="B8" s="581" t="s">
        <v>1521</v>
      </c>
      <c r="C8" s="581">
        <v>1.1803999999999999</v>
      </c>
      <c r="D8" s="581">
        <v>0.24510000000000001</v>
      </c>
      <c r="E8" s="581">
        <v>10.948</v>
      </c>
      <c r="F8" s="581">
        <v>0.77029999999999998</v>
      </c>
      <c r="G8" s="581">
        <v>1.1511</v>
      </c>
      <c r="H8" s="581">
        <v>1.0874999999999999</v>
      </c>
    </row>
    <row r="9" spans="1:8">
      <c r="A9" s="581">
        <v>3</v>
      </c>
      <c r="B9" s="581" t="s">
        <v>1522</v>
      </c>
      <c r="C9" s="581">
        <v>1</v>
      </c>
      <c r="D9" s="581">
        <v>0</v>
      </c>
      <c r="E9" s="581">
        <v>0</v>
      </c>
      <c r="F9" s="581">
        <v>0</v>
      </c>
      <c r="G9" s="581">
        <v>0</v>
      </c>
      <c r="H9" s="581">
        <v>0</v>
      </c>
    </row>
    <row r="10" spans="1:8">
      <c r="A10" s="581">
        <v>4</v>
      </c>
      <c r="B10" s="581" t="s">
        <v>1523</v>
      </c>
      <c r="C10" s="581">
        <v>1</v>
      </c>
      <c r="D10" s="581">
        <v>0</v>
      </c>
      <c r="E10" s="581">
        <v>0</v>
      </c>
      <c r="F10" s="581">
        <v>0</v>
      </c>
      <c r="G10" s="581">
        <v>0</v>
      </c>
      <c r="H10" s="581">
        <v>0</v>
      </c>
    </row>
    <row r="11" spans="1:8">
      <c r="A11" s="581">
        <v>5</v>
      </c>
      <c r="B11" s="581" t="s">
        <v>1524</v>
      </c>
      <c r="C11" s="581">
        <v>1</v>
      </c>
      <c r="D11" s="581">
        <v>0</v>
      </c>
      <c r="E11" s="581">
        <v>0</v>
      </c>
      <c r="F11" s="581">
        <v>0</v>
      </c>
      <c r="G11" s="581">
        <v>0</v>
      </c>
      <c r="H11" s="581">
        <v>0</v>
      </c>
    </row>
    <row r="12" spans="1:8">
      <c r="A12" s="581">
        <v>6</v>
      </c>
      <c r="B12" s="581" t="s">
        <v>1525</v>
      </c>
      <c r="C12" s="581">
        <v>1.1046</v>
      </c>
      <c r="D12" s="581">
        <v>8.5400000000000004E-2</v>
      </c>
      <c r="E12" s="581">
        <v>1.1319999999999999</v>
      </c>
      <c r="F12" s="581">
        <v>0.63549999999999995</v>
      </c>
      <c r="G12" s="581">
        <v>1.3166</v>
      </c>
      <c r="H12" s="581">
        <v>1.8717999999999999</v>
      </c>
    </row>
    <row r="13" spans="1:8">
      <c r="A13" s="581">
        <v>7</v>
      </c>
      <c r="B13" s="581" t="s">
        <v>1526</v>
      </c>
      <c r="C13" s="581">
        <v>1.2924</v>
      </c>
      <c r="D13" s="581">
        <v>0.28770000000000001</v>
      </c>
      <c r="E13" s="581">
        <v>5.9042000000000003</v>
      </c>
      <c r="F13" s="581">
        <v>0.67230000000000001</v>
      </c>
      <c r="G13" s="581">
        <v>1.2386999999999999</v>
      </c>
      <c r="H13" s="581">
        <v>1.3314999999999999</v>
      </c>
    </row>
    <row r="14" spans="1:8">
      <c r="A14" s="581">
        <v>8</v>
      </c>
      <c r="B14" s="581" t="s">
        <v>1527</v>
      </c>
      <c r="C14" s="581">
        <v>1.2304999999999999</v>
      </c>
      <c r="D14" s="581">
        <v>0.20519999999999999</v>
      </c>
      <c r="E14" s="581">
        <v>5.1977000000000002</v>
      </c>
      <c r="F14" s="581">
        <v>0.4088</v>
      </c>
      <c r="G14" s="581">
        <v>1.2746</v>
      </c>
      <c r="H14" s="581">
        <v>1.2663</v>
      </c>
    </row>
    <row r="15" spans="1:8">
      <c r="A15" s="581">
        <v>9</v>
      </c>
      <c r="B15" s="581" t="s">
        <v>1528</v>
      </c>
      <c r="C15" s="581">
        <v>1.2298</v>
      </c>
      <c r="D15" s="581">
        <v>0.21190000000000001</v>
      </c>
      <c r="E15" s="581">
        <v>4.2282000000000002</v>
      </c>
      <c r="F15" s="581">
        <v>0.51029999999999998</v>
      </c>
      <c r="G15" s="581">
        <v>1.2261</v>
      </c>
      <c r="H15" s="581">
        <v>1.3099000000000001</v>
      </c>
    </row>
    <row r="16" spans="1:8">
      <c r="A16" s="581">
        <v>10</v>
      </c>
      <c r="B16" s="581" t="s">
        <v>1529</v>
      </c>
      <c r="C16" s="581">
        <v>1</v>
      </c>
      <c r="D16" s="581">
        <v>0</v>
      </c>
      <c r="E16" s="581">
        <v>0</v>
      </c>
      <c r="F16" s="581">
        <v>0</v>
      </c>
      <c r="G16" s="581">
        <v>0</v>
      </c>
      <c r="H16" s="581">
        <v>0</v>
      </c>
    </row>
    <row r="17" spans="1:8">
      <c r="A17" s="581">
        <v>11</v>
      </c>
      <c r="B17" s="581" t="s">
        <v>1530</v>
      </c>
      <c r="C17" s="581">
        <v>1.2662</v>
      </c>
      <c r="D17" s="581">
        <v>0.26750000000000002</v>
      </c>
      <c r="E17" s="581">
        <v>5.4344999999999999</v>
      </c>
      <c r="F17" s="581">
        <v>0.54859999999999998</v>
      </c>
      <c r="G17" s="581">
        <v>1.2067000000000001</v>
      </c>
      <c r="H17" s="581">
        <v>1.2828999999999999</v>
      </c>
    </row>
    <row r="18" spans="1:8">
      <c r="A18" s="581">
        <v>12</v>
      </c>
      <c r="B18" s="581" t="s">
        <v>1531</v>
      </c>
      <c r="C18" s="581">
        <v>1</v>
      </c>
      <c r="D18" s="581">
        <v>0</v>
      </c>
      <c r="E18" s="581">
        <v>0</v>
      </c>
      <c r="F18" s="581">
        <v>0</v>
      </c>
      <c r="G18" s="581">
        <v>0</v>
      </c>
      <c r="H18" s="581">
        <v>0</v>
      </c>
    </row>
    <row r="19" spans="1:8">
      <c r="A19" s="581">
        <v>13</v>
      </c>
      <c r="B19" s="581" t="s">
        <v>1532</v>
      </c>
      <c r="C19" s="581">
        <v>1.2622</v>
      </c>
      <c r="D19" s="581">
        <v>0.30020000000000002</v>
      </c>
      <c r="E19" s="581">
        <v>4.3236999999999997</v>
      </c>
      <c r="F19" s="581">
        <v>0.64749999999999996</v>
      </c>
      <c r="G19" s="581">
        <v>1.1843999999999999</v>
      </c>
      <c r="H19" s="581">
        <v>1.3721000000000001</v>
      </c>
    </row>
    <row r="20" spans="1:8">
      <c r="A20" s="581">
        <v>14</v>
      </c>
      <c r="B20" s="581" t="s">
        <v>1533</v>
      </c>
      <c r="C20" s="581">
        <v>1.2205999999999999</v>
      </c>
      <c r="D20" s="581">
        <v>0.2361</v>
      </c>
      <c r="E20" s="581">
        <v>4.5106999999999999</v>
      </c>
      <c r="F20" s="581">
        <v>0.55049999999999999</v>
      </c>
      <c r="G20" s="581">
        <v>1.1964999999999999</v>
      </c>
      <c r="H20" s="581">
        <v>1.2851999999999999</v>
      </c>
    </row>
    <row r="21" spans="1:8">
      <c r="A21" s="581">
        <v>15</v>
      </c>
      <c r="B21" s="581" t="s">
        <v>1534</v>
      </c>
      <c r="C21" s="581">
        <v>1.1237999999999999</v>
      </c>
      <c r="D21" s="581">
        <v>5.04E-2</v>
      </c>
      <c r="E21" s="581">
        <v>0.98640000000000005</v>
      </c>
      <c r="F21" s="581">
        <v>0.28889999999999999</v>
      </c>
      <c r="G21" s="581">
        <v>1.7793000000000001</v>
      </c>
      <c r="H21" s="581">
        <v>2.0746000000000002</v>
      </c>
    </row>
    <row r="22" spans="1:8">
      <c r="A22" s="581">
        <v>16</v>
      </c>
      <c r="B22" s="581" t="s">
        <v>1535</v>
      </c>
      <c r="C22" s="581">
        <v>1</v>
      </c>
      <c r="D22" s="581">
        <v>0</v>
      </c>
      <c r="E22" s="581">
        <v>0</v>
      </c>
      <c r="F22" s="581">
        <v>0</v>
      </c>
      <c r="G22" s="581">
        <v>0</v>
      </c>
      <c r="H22" s="581">
        <v>0</v>
      </c>
    </row>
    <row r="23" spans="1:8">
      <c r="A23" s="581">
        <v>17</v>
      </c>
      <c r="B23" s="581" t="s">
        <v>1536</v>
      </c>
      <c r="C23" s="581">
        <v>1</v>
      </c>
      <c r="D23" s="581">
        <v>0</v>
      </c>
      <c r="E23" s="581">
        <v>0</v>
      </c>
      <c r="F23" s="581">
        <v>0</v>
      </c>
      <c r="G23" s="581">
        <v>0</v>
      </c>
      <c r="H23" s="581">
        <v>0</v>
      </c>
    </row>
    <row r="24" spans="1:8">
      <c r="A24" s="581">
        <v>18</v>
      </c>
      <c r="B24" s="581" t="s">
        <v>1537</v>
      </c>
      <c r="C24" s="581">
        <v>1.2163999999999999</v>
      </c>
      <c r="D24" s="581">
        <v>0.12759999999999999</v>
      </c>
      <c r="E24" s="581">
        <v>2.2858999999999998</v>
      </c>
      <c r="F24" s="581">
        <v>0.63009999999999999</v>
      </c>
      <c r="G24" s="581">
        <v>1.3709</v>
      </c>
      <c r="H24" s="581">
        <v>1.5527</v>
      </c>
    </row>
    <row r="25" spans="1:8">
      <c r="A25" s="581">
        <v>19</v>
      </c>
      <c r="B25" s="581" t="s">
        <v>1538</v>
      </c>
      <c r="C25" s="581">
        <v>1.7756000000000001</v>
      </c>
      <c r="D25" s="581">
        <v>0.21310000000000001</v>
      </c>
      <c r="E25" s="581">
        <v>7.2237</v>
      </c>
      <c r="F25" s="581">
        <v>0.58550000000000002</v>
      </c>
      <c r="G25" s="581">
        <v>3.1819000000000002</v>
      </c>
      <c r="H25" s="581">
        <v>4.9367999999999999</v>
      </c>
    </row>
    <row r="26" spans="1:8">
      <c r="A26" s="581">
        <v>20</v>
      </c>
      <c r="B26" s="581" t="s">
        <v>1539</v>
      </c>
      <c r="C26" s="581">
        <v>1</v>
      </c>
      <c r="D26" s="581">
        <v>0</v>
      </c>
      <c r="E26" s="581">
        <v>0</v>
      </c>
      <c r="F26" s="581">
        <v>0</v>
      </c>
      <c r="G26" s="581">
        <v>0</v>
      </c>
      <c r="H26" s="581">
        <v>0</v>
      </c>
    </row>
    <row r="27" spans="1:8">
      <c r="A27" s="581">
        <v>21</v>
      </c>
      <c r="B27" s="581" t="s">
        <v>1540</v>
      </c>
      <c r="C27" s="581">
        <v>1</v>
      </c>
      <c r="D27" s="581">
        <v>0</v>
      </c>
      <c r="E27" s="581">
        <v>0</v>
      </c>
      <c r="F27" s="581">
        <v>0</v>
      </c>
      <c r="G27" s="581">
        <v>0</v>
      </c>
      <c r="H27" s="581">
        <v>0</v>
      </c>
    </row>
    <row r="28" spans="1:8">
      <c r="A28" s="581">
        <v>22</v>
      </c>
      <c r="B28" s="581" t="s">
        <v>1541</v>
      </c>
      <c r="C28" s="581">
        <v>1</v>
      </c>
      <c r="D28" s="581">
        <v>0</v>
      </c>
      <c r="E28" s="581">
        <v>0</v>
      </c>
      <c r="F28" s="581">
        <v>0</v>
      </c>
      <c r="G28" s="581">
        <v>0</v>
      </c>
      <c r="H28" s="581">
        <v>0</v>
      </c>
    </row>
    <row r="29" spans="1:8">
      <c r="A29" s="581">
        <v>23</v>
      </c>
      <c r="B29" s="581" t="s">
        <v>1542</v>
      </c>
      <c r="C29" s="581">
        <v>1.21</v>
      </c>
      <c r="D29" s="581">
        <v>0.1197</v>
      </c>
      <c r="E29" s="581">
        <v>2.5619000000000001</v>
      </c>
      <c r="F29" s="581">
        <v>0.48699999999999999</v>
      </c>
      <c r="G29" s="581">
        <v>1.4795</v>
      </c>
      <c r="H29" s="581">
        <v>1.6108</v>
      </c>
    </row>
    <row r="30" spans="1:8">
      <c r="A30" s="581">
        <v>24</v>
      </c>
      <c r="B30" s="581" t="s">
        <v>1543</v>
      </c>
      <c r="C30" s="581">
        <v>1.0304</v>
      </c>
      <c r="D30" s="581">
        <v>3.1699999999999999E-2</v>
      </c>
      <c r="E30" s="581">
        <v>0.4078</v>
      </c>
      <c r="F30" s="581">
        <v>0.223</v>
      </c>
      <c r="G30" s="581">
        <v>1.2064999999999999</v>
      </c>
      <c r="H30" s="581">
        <v>1.4772000000000001</v>
      </c>
    </row>
    <row r="31" spans="1:8">
      <c r="A31" s="581">
        <v>25</v>
      </c>
      <c r="B31" s="581" t="s">
        <v>1544</v>
      </c>
      <c r="C31" s="581">
        <v>1.4127000000000001</v>
      </c>
      <c r="D31" s="581">
        <v>8.7400000000000005E-2</v>
      </c>
      <c r="E31" s="581">
        <v>1.1657</v>
      </c>
      <c r="F31" s="581">
        <v>0.49940000000000001</v>
      </c>
      <c r="G31" s="581">
        <v>1.7203999999999999</v>
      </c>
      <c r="H31" s="581">
        <v>2.4281999999999999</v>
      </c>
    </row>
    <row r="32" spans="1:8">
      <c r="A32" s="581">
        <v>26</v>
      </c>
      <c r="B32" s="581" t="s">
        <v>1545</v>
      </c>
      <c r="C32" s="581">
        <v>1.452</v>
      </c>
      <c r="D32" s="581">
        <v>0.15029999999999999</v>
      </c>
      <c r="E32" s="581">
        <v>3.0306000000000002</v>
      </c>
      <c r="F32" s="581">
        <v>0.52190000000000003</v>
      </c>
      <c r="G32" s="581">
        <v>1.4911000000000001</v>
      </c>
      <c r="H32" s="581">
        <v>1.5228999999999999</v>
      </c>
    </row>
    <row r="33" spans="1:8">
      <c r="A33" s="581">
        <v>27</v>
      </c>
      <c r="B33" s="581" t="s">
        <v>1546</v>
      </c>
      <c r="C33" s="581">
        <v>1.2374000000000001</v>
      </c>
      <c r="D33" s="581">
        <v>0.26960000000000001</v>
      </c>
      <c r="E33" s="581">
        <v>4.2213000000000003</v>
      </c>
      <c r="F33" s="581">
        <v>0.79179999999999995</v>
      </c>
      <c r="G33" s="581">
        <v>1.2096</v>
      </c>
      <c r="H33" s="581">
        <v>1.4214</v>
      </c>
    </row>
    <row r="34" spans="1:8">
      <c r="A34" s="581">
        <v>28</v>
      </c>
      <c r="B34" s="581" t="s">
        <v>1547</v>
      </c>
      <c r="C34" s="581">
        <v>1.2548999999999999</v>
      </c>
      <c r="D34" s="581">
        <v>0.29210000000000003</v>
      </c>
      <c r="E34" s="581">
        <v>9.9267000000000003</v>
      </c>
      <c r="F34" s="581">
        <v>0.82599999999999996</v>
      </c>
      <c r="G34" s="581">
        <v>1.1935</v>
      </c>
      <c r="H34" s="581">
        <v>1.1529</v>
      </c>
    </row>
    <row r="35" spans="1:8">
      <c r="A35" s="581">
        <v>29</v>
      </c>
      <c r="B35" s="581" t="s">
        <v>1548</v>
      </c>
      <c r="C35" s="581">
        <v>1</v>
      </c>
      <c r="D35" s="581">
        <v>0</v>
      </c>
      <c r="E35" s="581">
        <v>0</v>
      </c>
      <c r="F35" s="581">
        <v>0</v>
      </c>
      <c r="G35" s="581">
        <v>0</v>
      </c>
      <c r="H35" s="581">
        <v>0</v>
      </c>
    </row>
    <row r="36" spans="1:8">
      <c r="A36" s="581">
        <v>30</v>
      </c>
      <c r="B36" s="581" t="s">
        <v>1549</v>
      </c>
      <c r="C36" s="581">
        <v>1.2002999999999999</v>
      </c>
      <c r="D36" s="581">
        <v>7.17E-2</v>
      </c>
      <c r="E36" s="581">
        <v>1.3194999999999999</v>
      </c>
      <c r="F36" s="581">
        <v>0.52</v>
      </c>
      <c r="G36" s="581">
        <v>2.2631000000000001</v>
      </c>
      <c r="H36" s="581">
        <v>3.0670999999999999</v>
      </c>
    </row>
    <row r="37" spans="1:8">
      <c r="A37" s="581">
        <v>31</v>
      </c>
      <c r="B37" s="581" t="s">
        <v>1550</v>
      </c>
      <c r="C37" s="581">
        <v>1</v>
      </c>
      <c r="D37" s="581">
        <v>0</v>
      </c>
      <c r="E37" s="581">
        <v>0</v>
      </c>
      <c r="F37" s="581">
        <v>0</v>
      </c>
      <c r="G37" s="581">
        <v>0</v>
      </c>
      <c r="H37" s="581">
        <v>0</v>
      </c>
    </row>
    <row r="38" spans="1:8">
      <c r="A38" s="581">
        <v>32</v>
      </c>
      <c r="B38" s="581" t="s">
        <v>1551</v>
      </c>
      <c r="C38" s="581">
        <v>1.2929999999999999</v>
      </c>
      <c r="D38" s="581">
        <v>0.2442</v>
      </c>
      <c r="E38" s="581">
        <v>5.3487999999999998</v>
      </c>
      <c r="F38" s="581">
        <v>0.60129999999999995</v>
      </c>
      <c r="G38" s="581">
        <v>1.3162</v>
      </c>
      <c r="H38" s="581">
        <v>1.4013</v>
      </c>
    </row>
    <row r="39" spans="1:8">
      <c r="A39" s="581">
        <v>33</v>
      </c>
      <c r="B39" s="581" t="s">
        <v>1552</v>
      </c>
      <c r="C39" s="581">
        <v>1.2572000000000001</v>
      </c>
      <c r="D39" s="581">
        <v>0.32</v>
      </c>
      <c r="E39" s="581">
        <v>12.552899999999999</v>
      </c>
      <c r="F39" s="581">
        <v>0.69669999999999999</v>
      </c>
      <c r="G39" s="581">
        <v>1.1729000000000001</v>
      </c>
      <c r="H39" s="581">
        <v>1.1111</v>
      </c>
    </row>
    <row r="40" spans="1:8">
      <c r="A40" s="581">
        <v>34</v>
      </c>
      <c r="B40" s="581" t="s">
        <v>1553</v>
      </c>
      <c r="C40" s="581">
        <v>1</v>
      </c>
      <c r="D40" s="581">
        <v>0</v>
      </c>
      <c r="E40" s="581">
        <v>0</v>
      </c>
      <c r="F40" s="581">
        <v>0</v>
      </c>
      <c r="G40" s="581">
        <v>0</v>
      </c>
      <c r="H40" s="581">
        <v>0</v>
      </c>
    </row>
    <row r="41" spans="1:8">
      <c r="A41" s="581">
        <v>35</v>
      </c>
      <c r="B41" s="581" t="s">
        <v>1554</v>
      </c>
      <c r="C41" s="581">
        <v>1.2709999999999999</v>
      </c>
      <c r="D41" s="581">
        <v>0.39629999999999999</v>
      </c>
      <c r="E41" s="581">
        <v>8.4833999999999996</v>
      </c>
      <c r="F41" s="581">
        <v>0.84289999999999998</v>
      </c>
      <c r="G41" s="581">
        <v>1.1435</v>
      </c>
      <c r="H41" s="581">
        <v>1.2065999999999999</v>
      </c>
    </row>
    <row r="42" spans="1:8">
      <c r="A42" s="581">
        <v>36</v>
      </c>
      <c r="B42" s="581" t="s">
        <v>1555</v>
      </c>
      <c r="C42" s="581">
        <v>1.4072</v>
      </c>
      <c r="D42" s="581">
        <v>0.54810000000000003</v>
      </c>
      <c r="E42" s="581">
        <v>12.9666</v>
      </c>
      <c r="F42" s="581">
        <v>0.94420000000000004</v>
      </c>
      <c r="G42" s="581">
        <v>1.1778</v>
      </c>
      <c r="H42" s="581">
        <v>1.2161999999999999</v>
      </c>
    </row>
    <row r="43" spans="1:8">
      <c r="A43" s="581">
        <v>37</v>
      </c>
      <c r="B43" s="581" t="s">
        <v>1556</v>
      </c>
      <c r="C43" s="581">
        <v>1.1935</v>
      </c>
      <c r="D43" s="581">
        <v>0.1118</v>
      </c>
      <c r="E43" s="581">
        <v>2.0415999999999999</v>
      </c>
      <c r="F43" s="581">
        <v>0.55710000000000004</v>
      </c>
      <c r="G43" s="581">
        <v>1.4867999999999999</v>
      </c>
      <c r="H43" s="581">
        <v>1.8491</v>
      </c>
    </row>
    <row r="44" spans="1:8">
      <c r="A44" s="581">
        <v>38</v>
      </c>
      <c r="B44" s="581" t="s">
        <v>1557</v>
      </c>
      <c r="C44" s="581">
        <v>1</v>
      </c>
      <c r="D44" s="581">
        <v>0</v>
      </c>
      <c r="E44" s="581">
        <v>0</v>
      </c>
      <c r="F44" s="581">
        <v>0</v>
      </c>
      <c r="G44" s="581">
        <v>0</v>
      </c>
      <c r="H44" s="581">
        <v>0</v>
      </c>
    </row>
    <row r="45" spans="1:8">
      <c r="A45" s="581">
        <v>39</v>
      </c>
      <c r="B45" s="581" t="s">
        <v>1558</v>
      </c>
      <c r="C45" s="581">
        <v>1</v>
      </c>
      <c r="D45" s="581">
        <v>0</v>
      </c>
      <c r="E45" s="581">
        <v>0</v>
      </c>
      <c r="F45" s="581">
        <v>0</v>
      </c>
      <c r="G45" s="581">
        <v>0</v>
      </c>
      <c r="H45" s="581">
        <v>0</v>
      </c>
    </row>
    <row r="46" spans="1:8">
      <c r="A46" s="581">
        <v>40</v>
      </c>
      <c r="B46" s="581" t="s">
        <v>1559</v>
      </c>
      <c r="C46" s="581">
        <v>1.1917</v>
      </c>
      <c r="D46" s="581">
        <v>0.1085</v>
      </c>
      <c r="E46" s="581">
        <v>1.7139</v>
      </c>
      <c r="F46" s="581">
        <v>0.66349999999999998</v>
      </c>
      <c r="G46" s="581">
        <v>1.4140999999999999</v>
      </c>
      <c r="H46" s="581">
        <v>1.7677</v>
      </c>
    </row>
    <row r="47" spans="1:8">
      <c r="A47" s="581">
        <v>41</v>
      </c>
      <c r="B47" s="581" t="s">
        <v>1560</v>
      </c>
      <c r="C47" s="581">
        <v>1.2229000000000001</v>
      </c>
      <c r="D47" s="581">
        <v>0.14549999999999999</v>
      </c>
      <c r="E47" s="581">
        <v>2.3468</v>
      </c>
      <c r="F47" s="581">
        <v>0.61029999999999995</v>
      </c>
      <c r="G47" s="581">
        <v>1.4035</v>
      </c>
      <c r="H47" s="581">
        <v>1.8865000000000001</v>
      </c>
    </row>
    <row r="48" spans="1:8">
      <c r="A48" s="581">
        <v>42</v>
      </c>
      <c r="B48" s="581" t="s">
        <v>1561</v>
      </c>
      <c r="C48" s="581">
        <v>1.2670999999999999</v>
      </c>
      <c r="D48" s="581">
        <v>0.18160000000000001</v>
      </c>
      <c r="E48" s="581">
        <v>3.3266</v>
      </c>
      <c r="F48" s="581">
        <v>0.64780000000000004</v>
      </c>
      <c r="G48" s="581">
        <v>1.3649</v>
      </c>
      <c r="H48" s="581">
        <v>1.6400999999999999</v>
      </c>
    </row>
    <row r="49" spans="1:8">
      <c r="A49" s="581">
        <v>43</v>
      </c>
      <c r="B49" s="581" t="s">
        <v>1562</v>
      </c>
      <c r="C49" s="581">
        <v>1.3593999999999999</v>
      </c>
      <c r="D49" s="581">
        <v>0.47570000000000001</v>
      </c>
      <c r="E49" s="581">
        <v>7.3689</v>
      </c>
      <c r="F49" s="581">
        <v>0.74729999999999996</v>
      </c>
      <c r="G49" s="581">
        <v>1.1574</v>
      </c>
      <c r="H49" s="581">
        <v>1.3103</v>
      </c>
    </row>
    <row r="50" spans="1:8">
      <c r="A50" s="581">
        <v>44</v>
      </c>
      <c r="B50" s="581" t="s">
        <v>1563</v>
      </c>
      <c r="C50" s="581">
        <v>1.1917</v>
      </c>
      <c r="D50" s="581">
        <v>0.2361</v>
      </c>
      <c r="E50" s="581">
        <v>3.5489999999999999</v>
      </c>
      <c r="F50" s="581">
        <v>0.7843</v>
      </c>
      <c r="G50" s="581">
        <v>1.1749000000000001</v>
      </c>
      <c r="H50" s="581">
        <v>1.3351999999999999</v>
      </c>
    </row>
    <row r="51" spans="1:8">
      <c r="A51" s="581">
        <v>45</v>
      </c>
      <c r="B51" s="581" t="s">
        <v>1564</v>
      </c>
      <c r="C51" s="581">
        <v>1</v>
      </c>
      <c r="D51" s="581">
        <v>0</v>
      </c>
      <c r="E51" s="581">
        <v>0</v>
      </c>
      <c r="F51" s="581">
        <v>0</v>
      </c>
      <c r="G51" s="581">
        <v>0</v>
      </c>
      <c r="H51" s="581">
        <v>0</v>
      </c>
    </row>
    <row r="52" spans="1:8">
      <c r="A52" s="581">
        <v>46</v>
      </c>
      <c r="B52" s="581" t="s">
        <v>1565</v>
      </c>
      <c r="C52" s="581">
        <v>1.1283000000000001</v>
      </c>
      <c r="D52" s="581">
        <v>3.8600000000000002E-2</v>
      </c>
      <c r="E52" s="581">
        <v>2.0552000000000001</v>
      </c>
      <c r="F52" s="581">
        <v>0.76729999999999998</v>
      </c>
      <c r="G52" s="581">
        <v>2.2189000000000001</v>
      </c>
      <c r="H52" s="581">
        <v>1.3305</v>
      </c>
    </row>
    <row r="53" spans="1:8">
      <c r="A53" s="581">
        <v>47</v>
      </c>
      <c r="B53" s="581" t="s">
        <v>1566</v>
      </c>
      <c r="C53" s="581">
        <v>1.2585999999999999</v>
      </c>
      <c r="D53" s="581">
        <v>0.29220000000000002</v>
      </c>
      <c r="E53" s="581">
        <v>4.9577</v>
      </c>
      <c r="F53" s="581">
        <v>0.80210000000000004</v>
      </c>
      <c r="G53" s="581">
        <v>1.1900999999999999</v>
      </c>
      <c r="H53" s="581">
        <v>1.3342000000000001</v>
      </c>
    </row>
    <row r="54" spans="1:8">
      <c r="A54" s="581">
        <v>48</v>
      </c>
      <c r="B54" s="581" t="s">
        <v>1567</v>
      </c>
      <c r="C54" s="581">
        <v>1.2553000000000001</v>
      </c>
      <c r="D54" s="581">
        <v>0.2883</v>
      </c>
      <c r="E54" s="581">
        <v>4.7671999999999999</v>
      </c>
      <c r="F54" s="581">
        <v>0.82889999999999997</v>
      </c>
      <c r="G54" s="581">
        <v>1.1992</v>
      </c>
      <c r="H54" s="581">
        <v>1.3883000000000001</v>
      </c>
    </row>
    <row r="55" spans="1:8">
      <c r="A55" s="581">
        <v>49</v>
      </c>
      <c r="B55" s="581" t="s">
        <v>1568</v>
      </c>
      <c r="C55" s="581">
        <v>1.3488</v>
      </c>
      <c r="D55" s="581">
        <v>0.52070000000000005</v>
      </c>
      <c r="E55" s="581">
        <v>5.5793999999999997</v>
      </c>
      <c r="F55" s="581">
        <v>0.86119999999999997</v>
      </c>
      <c r="G55" s="581">
        <v>1.1388</v>
      </c>
      <c r="H55" s="581">
        <v>1.4739</v>
      </c>
    </row>
    <row r="56" spans="1:8">
      <c r="A56" s="581">
        <v>50</v>
      </c>
      <c r="B56" s="581" t="s">
        <v>1569</v>
      </c>
      <c r="C56" s="581">
        <v>1.2244999999999999</v>
      </c>
      <c r="D56" s="581">
        <v>0.24129999999999999</v>
      </c>
      <c r="E56" s="581">
        <v>8.6960999999999995</v>
      </c>
      <c r="F56" s="581">
        <v>0.77459999999999996</v>
      </c>
      <c r="G56" s="581">
        <v>1.208</v>
      </c>
      <c r="H56" s="581">
        <v>1.1549</v>
      </c>
    </row>
    <row r="57" spans="1:8">
      <c r="A57" s="581">
        <v>51</v>
      </c>
      <c r="B57" s="581" t="s">
        <v>1570</v>
      </c>
      <c r="C57" s="581">
        <v>1.3855999999999999</v>
      </c>
      <c r="D57" s="581">
        <v>0.33789999999999998</v>
      </c>
      <c r="E57" s="581">
        <v>6.3624999999999998</v>
      </c>
      <c r="F57" s="581">
        <v>0.74070000000000003</v>
      </c>
      <c r="G57" s="581">
        <v>1.3109999999999999</v>
      </c>
      <c r="H57" s="581">
        <v>1.4410000000000001</v>
      </c>
    </row>
    <row r="58" spans="1:8">
      <c r="A58" s="581">
        <v>52</v>
      </c>
      <c r="B58" s="581" t="s">
        <v>1571</v>
      </c>
      <c r="C58" s="581">
        <v>1.3043</v>
      </c>
      <c r="D58" s="581">
        <v>0.43640000000000001</v>
      </c>
      <c r="E58" s="581">
        <v>14.8919</v>
      </c>
      <c r="F58" s="581">
        <v>0.83230000000000004</v>
      </c>
      <c r="G58" s="581">
        <v>1.1400999999999999</v>
      </c>
      <c r="H58" s="581">
        <v>1.1192</v>
      </c>
    </row>
    <row r="59" spans="1:8">
      <c r="A59" s="581">
        <v>53</v>
      </c>
      <c r="B59" s="581" t="s">
        <v>1572</v>
      </c>
      <c r="C59" s="581">
        <v>1.2654000000000001</v>
      </c>
      <c r="D59" s="581">
        <v>0.28449999999999998</v>
      </c>
      <c r="E59" s="581">
        <v>5.3299000000000003</v>
      </c>
      <c r="F59" s="581">
        <v>0.79259999999999997</v>
      </c>
      <c r="G59" s="581">
        <v>1.2050000000000001</v>
      </c>
      <c r="H59" s="581">
        <v>1.3264</v>
      </c>
    </row>
    <row r="60" spans="1:8">
      <c r="A60" s="581">
        <v>54</v>
      </c>
      <c r="B60" s="581" t="s">
        <v>1573</v>
      </c>
      <c r="C60" s="581">
        <v>1.3004</v>
      </c>
      <c r="D60" s="581">
        <v>0.29699999999999999</v>
      </c>
      <c r="E60" s="581">
        <v>5.8821000000000003</v>
      </c>
      <c r="F60" s="581">
        <v>0.71109999999999995</v>
      </c>
      <c r="G60" s="581">
        <v>1.2011000000000001</v>
      </c>
      <c r="H60" s="581">
        <v>1.3098000000000001</v>
      </c>
    </row>
    <row r="61" spans="1:8">
      <c r="A61" s="581">
        <v>55</v>
      </c>
      <c r="B61" s="581" t="s">
        <v>1574</v>
      </c>
      <c r="C61" s="581">
        <v>1.3237000000000001</v>
      </c>
      <c r="D61" s="581">
        <v>0.39639999999999997</v>
      </c>
      <c r="E61" s="581">
        <v>12.111000000000001</v>
      </c>
      <c r="F61" s="581">
        <v>0.86209999999999998</v>
      </c>
      <c r="G61" s="581">
        <v>1.1646000000000001</v>
      </c>
      <c r="H61" s="581">
        <v>1.1546000000000001</v>
      </c>
    </row>
    <row r="62" spans="1:8">
      <c r="A62" s="581">
        <v>56</v>
      </c>
      <c r="B62" s="581" t="s">
        <v>1575</v>
      </c>
      <c r="C62" s="581">
        <v>1.3431999999999999</v>
      </c>
      <c r="D62" s="581">
        <v>0.45500000000000002</v>
      </c>
      <c r="E62" s="581">
        <v>19.741399999999999</v>
      </c>
      <c r="F62" s="581">
        <v>0.84399999999999997</v>
      </c>
      <c r="G62" s="581">
        <v>1.1543000000000001</v>
      </c>
      <c r="H62" s="581">
        <v>1.0976999999999999</v>
      </c>
    </row>
    <row r="63" spans="1:8">
      <c r="A63" s="581">
        <v>57</v>
      </c>
      <c r="B63" s="581" t="s">
        <v>1576</v>
      </c>
      <c r="C63" s="581">
        <v>1.4077999999999999</v>
      </c>
      <c r="D63" s="581">
        <v>0.39360000000000001</v>
      </c>
      <c r="E63" s="581">
        <v>13.762</v>
      </c>
      <c r="F63" s="581">
        <v>0.85199999999999998</v>
      </c>
      <c r="G63" s="581">
        <v>1.2715000000000001</v>
      </c>
      <c r="H63" s="581">
        <v>1.2332000000000001</v>
      </c>
    </row>
    <row r="64" spans="1:8">
      <c r="A64" s="581">
        <v>58</v>
      </c>
      <c r="B64" s="581" t="s">
        <v>1577</v>
      </c>
      <c r="C64" s="581">
        <v>1.1892</v>
      </c>
      <c r="D64" s="581">
        <v>0.14949999999999999</v>
      </c>
      <c r="E64" s="581">
        <v>7.0682</v>
      </c>
      <c r="F64" s="581">
        <v>0.76229999999999998</v>
      </c>
      <c r="G64" s="581">
        <v>1.2675000000000001</v>
      </c>
      <c r="H64" s="581">
        <v>1.1407</v>
      </c>
    </row>
    <row r="65" spans="1:8">
      <c r="A65" s="581">
        <v>59</v>
      </c>
      <c r="B65" s="581" t="s">
        <v>1578</v>
      </c>
      <c r="C65" s="581">
        <v>1.2846</v>
      </c>
      <c r="D65" s="581">
        <v>0.22670000000000001</v>
      </c>
      <c r="E65" s="581">
        <v>6.1852</v>
      </c>
      <c r="F65" s="581">
        <v>0.71609999999999996</v>
      </c>
      <c r="G65" s="581">
        <v>1.3048</v>
      </c>
      <c r="H65" s="581">
        <v>1.3147</v>
      </c>
    </row>
    <row r="66" spans="1:8">
      <c r="A66" s="581">
        <v>60</v>
      </c>
      <c r="B66" s="581" t="s">
        <v>1579</v>
      </c>
      <c r="C66" s="581">
        <v>1.2813000000000001</v>
      </c>
      <c r="D66" s="581">
        <v>0.29609999999999997</v>
      </c>
      <c r="E66" s="581">
        <v>14.7483</v>
      </c>
      <c r="F66" s="581">
        <v>0.70120000000000005</v>
      </c>
      <c r="G66" s="581">
        <v>1.1974</v>
      </c>
      <c r="H66" s="581">
        <v>1.1048</v>
      </c>
    </row>
    <row r="67" spans="1:8">
      <c r="A67" s="581">
        <v>61</v>
      </c>
      <c r="B67" s="581" t="s">
        <v>1580</v>
      </c>
      <c r="C67" s="581">
        <v>1.3987000000000001</v>
      </c>
      <c r="D67" s="581">
        <v>0.28420000000000001</v>
      </c>
      <c r="E67" s="581">
        <v>7.1289999999999996</v>
      </c>
      <c r="F67" s="581">
        <v>0.79020000000000001</v>
      </c>
      <c r="G67" s="581">
        <v>1.3633</v>
      </c>
      <c r="H67" s="581">
        <v>1.3486</v>
      </c>
    </row>
    <row r="68" spans="1:8">
      <c r="A68" s="581">
        <v>62</v>
      </c>
      <c r="B68" s="581" t="s">
        <v>1581</v>
      </c>
      <c r="C68" s="581">
        <v>0.52210000000000001</v>
      </c>
      <c r="D68" s="581">
        <v>9.3399999999999997E-2</v>
      </c>
      <c r="E68" s="581">
        <v>2.911</v>
      </c>
      <c r="F68" s="581">
        <v>0.31850000000000001</v>
      </c>
      <c r="G68" s="581">
        <v>0</v>
      </c>
      <c r="H68" s="581">
        <v>0</v>
      </c>
    </row>
    <row r="70" spans="1:8">
      <c r="C70" s="581">
        <f>SUM(C6:C68)</f>
        <v>73.901899999999983</v>
      </c>
      <c r="D70" s="581">
        <f t="shared" ref="D70:H70" si="0">SUM(D6:D68)</f>
        <v>11.3446</v>
      </c>
      <c r="E70" s="581">
        <f t="shared" si="0"/>
        <v>289.7136000000001</v>
      </c>
      <c r="F70" s="581">
        <f t="shared" si="0"/>
        <v>30.743200000000002</v>
      </c>
      <c r="G70" s="581">
        <f t="shared" si="0"/>
        <v>61.302299999999995</v>
      </c>
      <c r="H70" s="581">
        <f t="shared" si="0"/>
        <v>68.230900000000005</v>
      </c>
    </row>
    <row r="71" spans="1:8">
      <c r="C71" s="581">
        <f>C70-SUM(salem!B2:B63)</f>
        <v>1.0053999999999803</v>
      </c>
      <c r="D71" s="581">
        <f>D70-SUM(salem!C2:C63)</f>
        <v>0.68599999999999994</v>
      </c>
      <c r="E71" s="581">
        <f>E70-SUM(salem!D2:D63)</f>
        <v>11.390300000000082</v>
      </c>
      <c r="F71" s="581">
        <f>F70-SUM(salem!E2:E63)</f>
        <v>0.87630000000000408</v>
      </c>
      <c r="G71" s="581">
        <f>G70-SUM(salem!F2:F63)</f>
        <v>7.0921999999999912</v>
      </c>
      <c r="H71" s="581">
        <f>H70-SUM(salem!G2:G63)</f>
        <v>9.0349000000000075</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H71"/>
  <sheetViews>
    <sheetView topLeftCell="A43" workbookViewId="0">
      <selection activeCell="D71" sqref="D71:H71"/>
    </sheetView>
  </sheetViews>
  <sheetFormatPr defaultColWidth="9.109375" defaultRowHeight="14.4"/>
  <cols>
    <col min="1" max="16384" width="9.109375" style="581"/>
  </cols>
  <sheetData>
    <row r="1" spans="1:8">
      <c r="A1" s="581" t="s">
        <v>1513</v>
      </c>
    </row>
    <row r="2" spans="1:8">
      <c r="A2" s="581" t="s">
        <v>1599</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1.3090999999999999</v>
      </c>
      <c r="D7" s="581">
        <v>0.25600000000000001</v>
      </c>
      <c r="E7" s="581">
        <v>11.340199999999999</v>
      </c>
      <c r="F7" s="581">
        <v>0.58509999999999995</v>
      </c>
      <c r="G7" s="581">
        <v>1.1827000000000001</v>
      </c>
      <c r="H7" s="581">
        <v>1.0992999999999999</v>
      </c>
    </row>
    <row r="8" spans="1:8">
      <c r="A8" s="581">
        <v>2</v>
      </c>
      <c r="B8" s="581" t="s">
        <v>1521</v>
      </c>
      <c r="C8" s="581">
        <v>1.4723999999999999</v>
      </c>
      <c r="D8" s="581">
        <v>0.57979999999999998</v>
      </c>
      <c r="E8" s="581">
        <v>26.132200000000001</v>
      </c>
      <c r="F8" s="581">
        <v>0.95279999999999998</v>
      </c>
      <c r="G8" s="581">
        <v>1.1106</v>
      </c>
      <c r="H8" s="581">
        <v>1.0589999999999999</v>
      </c>
    </row>
    <row r="9" spans="1:8">
      <c r="A9" s="581">
        <v>3</v>
      </c>
      <c r="B9" s="581" t="s">
        <v>1522</v>
      </c>
      <c r="C9" s="581">
        <v>1</v>
      </c>
      <c r="D9" s="581">
        <v>0</v>
      </c>
      <c r="E9" s="581">
        <v>0</v>
      </c>
      <c r="F9" s="581">
        <v>0</v>
      </c>
      <c r="G9" s="581">
        <v>0</v>
      </c>
      <c r="H9" s="581">
        <v>0</v>
      </c>
    </row>
    <row r="10" spans="1:8">
      <c r="A10" s="581">
        <v>4</v>
      </c>
      <c r="B10" s="581" t="s">
        <v>1523</v>
      </c>
      <c r="C10" s="581">
        <v>1.41</v>
      </c>
      <c r="D10" s="581">
        <v>0.10979999999999999</v>
      </c>
      <c r="E10" s="581">
        <v>1.8515999999999999</v>
      </c>
      <c r="F10" s="581">
        <v>0.75070000000000003</v>
      </c>
      <c r="G10" s="581">
        <v>1.7119</v>
      </c>
      <c r="H10" s="581">
        <v>1.9016999999999999</v>
      </c>
    </row>
    <row r="11" spans="1:8">
      <c r="A11" s="581">
        <v>5</v>
      </c>
      <c r="B11" s="581" t="s">
        <v>1524</v>
      </c>
      <c r="C11" s="581">
        <v>1.5301</v>
      </c>
      <c r="D11" s="581">
        <v>0.17480000000000001</v>
      </c>
      <c r="E11" s="581">
        <v>3.5261999999999998</v>
      </c>
      <c r="F11" s="581">
        <v>0.62949999999999995</v>
      </c>
      <c r="G11" s="581">
        <v>1.5761000000000001</v>
      </c>
      <c r="H11" s="581">
        <v>1.5174000000000001</v>
      </c>
    </row>
    <row r="12" spans="1:8">
      <c r="A12" s="581">
        <v>6</v>
      </c>
      <c r="B12" s="581" t="s">
        <v>1525</v>
      </c>
      <c r="C12" s="581">
        <v>1.2383</v>
      </c>
      <c r="D12" s="581">
        <v>9.3799999999999994E-2</v>
      </c>
      <c r="E12" s="581">
        <v>1.2604</v>
      </c>
      <c r="F12" s="581">
        <v>0.72</v>
      </c>
      <c r="G12" s="581">
        <v>1.5706</v>
      </c>
      <c r="H12" s="581">
        <v>2.2618</v>
      </c>
    </row>
    <row r="13" spans="1:8">
      <c r="A13" s="581">
        <v>7</v>
      </c>
      <c r="B13" s="581" t="s">
        <v>1526</v>
      </c>
      <c r="C13" s="581">
        <v>1.4533</v>
      </c>
      <c r="D13" s="581">
        <v>0.2293</v>
      </c>
      <c r="E13" s="581">
        <v>4.5816999999999997</v>
      </c>
      <c r="F13" s="581">
        <v>0.76729999999999998</v>
      </c>
      <c r="G13" s="581">
        <v>1.3254999999999999</v>
      </c>
      <c r="H13" s="581">
        <v>1.3875999999999999</v>
      </c>
    </row>
    <row r="14" spans="1:8">
      <c r="A14" s="581">
        <v>8</v>
      </c>
      <c r="B14" s="581" t="s">
        <v>1527</v>
      </c>
      <c r="C14" s="581">
        <v>1.4171</v>
      </c>
      <c r="D14" s="581">
        <v>0.15770000000000001</v>
      </c>
      <c r="E14" s="581">
        <v>3.7442000000000002</v>
      </c>
      <c r="F14" s="581">
        <v>0.52590000000000003</v>
      </c>
      <c r="G14" s="581">
        <v>1.4858</v>
      </c>
      <c r="H14" s="581">
        <v>1.3831</v>
      </c>
    </row>
    <row r="15" spans="1:8">
      <c r="A15" s="581">
        <v>9</v>
      </c>
      <c r="B15" s="581" t="s">
        <v>1528</v>
      </c>
      <c r="C15" s="581">
        <v>1.3298000000000001</v>
      </c>
      <c r="D15" s="581">
        <v>0.1011</v>
      </c>
      <c r="E15" s="581">
        <v>1.9517</v>
      </c>
      <c r="F15" s="581">
        <v>0.5696</v>
      </c>
      <c r="G15" s="581">
        <v>1.5878000000000001</v>
      </c>
      <c r="H15" s="581">
        <v>1.6407</v>
      </c>
    </row>
    <row r="16" spans="1:8">
      <c r="A16" s="581">
        <v>10</v>
      </c>
      <c r="B16" s="581" t="s">
        <v>1529</v>
      </c>
      <c r="C16" s="581">
        <v>1.3933</v>
      </c>
      <c r="D16" s="581">
        <v>9.7299999999999998E-2</v>
      </c>
      <c r="E16" s="581">
        <v>1.7353000000000001</v>
      </c>
      <c r="F16" s="581">
        <v>0.4304</v>
      </c>
      <c r="G16" s="581">
        <v>1.7649999999999999</v>
      </c>
      <c r="H16" s="581">
        <v>1.9178999999999999</v>
      </c>
    </row>
    <row r="17" spans="1:8">
      <c r="A17" s="581">
        <v>11</v>
      </c>
      <c r="B17" s="581" t="s">
        <v>1530</v>
      </c>
      <c r="C17" s="581">
        <v>1.4505999999999999</v>
      </c>
      <c r="D17" s="581">
        <v>0.1244</v>
      </c>
      <c r="E17" s="581">
        <v>2.4243000000000001</v>
      </c>
      <c r="F17" s="581">
        <v>0.6401</v>
      </c>
      <c r="G17" s="581">
        <v>1.6593</v>
      </c>
      <c r="H17" s="581">
        <v>1.6914</v>
      </c>
    </row>
    <row r="18" spans="1:8">
      <c r="A18" s="581">
        <v>12</v>
      </c>
      <c r="B18" s="581" t="s">
        <v>1531</v>
      </c>
      <c r="C18" s="581">
        <v>1.4337</v>
      </c>
      <c r="D18" s="581">
        <v>0.16239999999999999</v>
      </c>
      <c r="E18" s="581">
        <v>2.7578999999999998</v>
      </c>
      <c r="F18" s="581">
        <v>0.60199999999999998</v>
      </c>
      <c r="G18" s="581">
        <v>1.4435</v>
      </c>
      <c r="H18" s="581">
        <v>1.5550999999999999</v>
      </c>
    </row>
    <row r="19" spans="1:8">
      <c r="A19" s="581">
        <v>13</v>
      </c>
      <c r="B19" s="581" t="s">
        <v>1532</v>
      </c>
      <c r="C19" s="581">
        <v>1.5043</v>
      </c>
      <c r="D19" s="581">
        <v>0.152</v>
      </c>
      <c r="E19" s="581">
        <v>2.2574999999999998</v>
      </c>
      <c r="F19" s="581">
        <v>0.79159999999999997</v>
      </c>
      <c r="G19" s="581">
        <v>1.6305000000000001</v>
      </c>
      <c r="H19" s="581">
        <v>1.9476</v>
      </c>
    </row>
    <row r="20" spans="1:8">
      <c r="A20" s="581">
        <v>14</v>
      </c>
      <c r="B20" s="581" t="s">
        <v>1533</v>
      </c>
      <c r="C20" s="581">
        <v>1.2314000000000001</v>
      </c>
      <c r="D20" s="581">
        <v>0.1024</v>
      </c>
      <c r="E20" s="581">
        <v>1.8671</v>
      </c>
      <c r="F20" s="581">
        <v>0.56469999999999998</v>
      </c>
      <c r="G20" s="581">
        <v>1.3665</v>
      </c>
      <c r="H20" s="581">
        <v>1.4004000000000001</v>
      </c>
    </row>
    <row r="21" spans="1:8">
      <c r="A21" s="581">
        <v>15</v>
      </c>
      <c r="B21" s="581" t="s">
        <v>1534</v>
      </c>
      <c r="C21" s="581">
        <v>1.4065000000000001</v>
      </c>
      <c r="D21" s="581">
        <v>0.1056</v>
      </c>
      <c r="E21" s="581">
        <v>1.8823000000000001</v>
      </c>
      <c r="F21" s="581">
        <v>0.4425</v>
      </c>
      <c r="G21" s="581">
        <v>1.7256</v>
      </c>
      <c r="H21" s="581">
        <v>1.8341000000000001</v>
      </c>
    </row>
    <row r="22" spans="1:8">
      <c r="A22" s="581">
        <v>16</v>
      </c>
      <c r="B22" s="581" t="s">
        <v>1535</v>
      </c>
      <c r="C22" s="581">
        <v>1.5416000000000001</v>
      </c>
      <c r="D22" s="581">
        <v>0.1116</v>
      </c>
      <c r="E22" s="581">
        <v>2.1244999999999998</v>
      </c>
      <c r="F22" s="581">
        <v>0.65749999999999997</v>
      </c>
      <c r="G22" s="581">
        <v>2.2526999999999999</v>
      </c>
      <c r="H22" s="581">
        <v>2.2627000000000002</v>
      </c>
    </row>
    <row r="23" spans="1:8">
      <c r="A23" s="581">
        <v>17</v>
      </c>
      <c r="B23" s="581" t="s">
        <v>1536</v>
      </c>
      <c r="C23" s="581">
        <v>1.4381999999999999</v>
      </c>
      <c r="D23" s="581">
        <v>0.1188</v>
      </c>
      <c r="E23" s="581">
        <v>2.6059999999999999</v>
      </c>
      <c r="F23" s="581">
        <v>0.6502</v>
      </c>
      <c r="G23" s="581">
        <v>1.7516</v>
      </c>
      <c r="H23" s="581">
        <v>1.6835</v>
      </c>
    </row>
    <row r="24" spans="1:8">
      <c r="A24" s="581">
        <v>18</v>
      </c>
      <c r="B24" s="581" t="s">
        <v>1537</v>
      </c>
      <c r="C24" s="581">
        <v>1.3794</v>
      </c>
      <c r="D24" s="581">
        <v>0.12180000000000001</v>
      </c>
      <c r="E24" s="581">
        <v>2.1284999999999998</v>
      </c>
      <c r="F24" s="581">
        <v>0.73719999999999997</v>
      </c>
      <c r="G24" s="581">
        <v>1.5784</v>
      </c>
      <c r="H24" s="581">
        <v>1.7438</v>
      </c>
    </row>
    <row r="25" spans="1:8">
      <c r="A25" s="581">
        <v>19</v>
      </c>
      <c r="B25" s="581" t="s">
        <v>1538</v>
      </c>
      <c r="C25" s="581">
        <v>1.3603000000000001</v>
      </c>
      <c r="D25" s="581">
        <v>9.4E-2</v>
      </c>
      <c r="E25" s="581">
        <v>2.0640000000000001</v>
      </c>
      <c r="F25" s="581">
        <v>0.44319999999999998</v>
      </c>
      <c r="G25" s="581">
        <v>1.7269000000000001</v>
      </c>
      <c r="H25" s="581">
        <v>1.7352000000000001</v>
      </c>
    </row>
    <row r="26" spans="1:8">
      <c r="A26" s="581">
        <v>20</v>
      </c>
      <c r="B26" s="581" t="s">
        <v>1539</v>
      </c>
      <c r="C26" s="581">
        <v>1.4172</v>
      </c>
      <c r="D26" s="581">
        <v>0.2485</v>
      </c>
      <c r="E26" s="581">
        <v>5.8577000000000004</v>
      </c>
      <c r="F26" s="581">
        <v>0.53180000000000005</v>
      </c>
      <c r="G26" s="581">
        <v>1.2817000000000001</v>
      </c>
      <c r="H26" s="581">
        <v>1.2629999999999999</v>
      </c>
    </row>
    <row r="27" spans="1:8">
      <c r="A27" s="581">
        <v>21</v>
      </c>
      <c r="B27" s="581" t="s">
        <v>1540</v>
      </c>
      <c r="C27" s="581">
        <v>1.3922000000000001</v>
      </c>
      <c r="D27" s="581">
        <v>0.1522</v>
      </c>
      <c r="E27" s="581">
        <v>3.7980999999999998</v>
      </c>
      <c r="F27" s="581">
        <v>0.64159999999999995</v>
      </c>
      <c r="G27" s="581">
        <v>1.5011000000000001</v>
      </c>
      <c r="H27" s="581">
        <v>1.3985000000000001</v>
      </c>
    </row>
    <row r="28" spans="1:8">
      <c r="A28" s="581">
        <v>22</v>
      </c>
      <c r="B28" s="581" t="s">
        <v>1541</v>
      </c>
      <c r="C28" s="581">
        <v>1.1614</v>
      </c>
      <c r="D28" s="581">
        <v>6.4399999999999999E-2</v>
      </c>
      <c r="E28" s="581">
        <v>1.0854999999999999</v>
      </c>
      <c r="F28" s="581">
        <v>0.44979999999999998</v>
      </c>
      <c r="G28" s="581">
        <v>1.3984000000000001</v>
      </c>
      <c r="H28" s="581">
        <v>1.4972000000000001</v>
      </c>
    </row>
    <row r="29" spans="1:8">
      <c r="A29" s="581">
        <v>23</v>
      </c>
      <c r="B29" s="581" t="s">
        <v>1542</v>
      </c>
      <c r="C29" s="581">
        <v>1.4523999999999999</v>
      </c>
      <c r="D29" s="581">
        <v>0.12540000000000001</v>
      </c>
      <c r="E29" s="581">
        <v>2.5461</v>
      </c>
      <c r="F29" s="581">
        <v>0.63360000000000005</v>
      </c>
      <c r="G29" s="581">
        <v>1.7705</v>
      </c>
      <c r="H29" s="581">
        <v>1.8286</v>
      </c>
    </row>
    <row r="30" spans="1:8">
      <c r="A30" s="581">
        <v>24</v>
      </c>
      <c r="B30" s="581" t="s">
        <v>1543</v>
      </c>
      <c r="C30" s="581">
        <v>1.0728</v>
      </c>
      <c r="D30" s="581">
        <v>3.73E-2</v>
      </c>
      <c r="E30" s="581">
        <v>0.47439999999999999</v>
      </c>
      <c r="F30" s="581">
        <v>0.2505</v>
      </c>
      <c r="G30" s="581">
        <v>1.3602000000000001</v>
      </c>
      <c r="H30" s="581">
        <v>1.6451</v>
      </c>
    </row>
    <row r="31" spans="1:8">
      <c r="A31" s="581">
        <v>25</v>
      </c>
      <c r="B31" s="581" t="s">
        <v>1544</v>
      </c>
      <c r="C31" s="581">
        <v>1.5369999999999999</v>
      </c>
      <c r="D31" s="581">
        <v>0.12839999999999999</v>
      </c>
      <c r="E31" s="581">
        <v>1.651</v>
      </c>
      <c r="F31" s="581">
        <v>0.62780000000000002</v>
      </c>
      <c r="G31" s="581">
        <v>1.8834</v>
      </c>
      <c r="H31" s="581">
        <v>2.5629</v>
      </c>
    </row>
    <row r="32" spans="1:8">
      <c r="A32" s="581">
        <v>26</v>
      </c>
      <c r="B32" s="581" t="s">
        <v>1545</v>
      </c>
      <c r="C32" s="581">
        <v>1.3758999999999999</v>
      </c>
      <c r="D32" s="581">
        <v>9.2299999999999993E-2</v>
      </c>
      <c r="E32" s="581">
        <v>1.792</v>
      </c>
      <c r="F32" s="581">
        <v>0.52580000000000005</v>
      </c>
      <c r="G32" s="581">
        <v>1.7858000000000001</v>
      </c>
      <c r="H32" s="581">
        <v>1.7562</v>
      </c>
    </row>
    <row r="33" spans="1:8">
      <c r="A33" s="581">
        <v>27</v>
      </c>
      <c r="B33" s="581" t="s">
        <v>1546</v>
      </c>
      <c r="C33" s="581">
        <v>1.4366000000000001</v>
      </c>
      <c r="D33" s="581">
        <v>0.19819999999999999</v>
      </c>
      <c r="E33" s="581">
        <v>3.1259000000000001</v>
      </c>
      <c r="F33" s="581">
        <v>0.91749999999999998</v>
      </c>
      <c r="G33" s="581">
        <v>1.3736999999999999</v>
      </c>
      <c r="H33" s="581">
        <v>1.6263000000000001</v>
      </c>
    </row>
    <row r="34" spans="1:8">
      <c r="A34" s="581">
        <v>28</v>
      </c>
      <c r="B34" s="581" t="s">
        <v>1547</v>
      </c>
      <c r="C34" s="581">
        <v>1.3684000000000001</v>
      </c>
      <c r="D34" s="581">
        <v>0.17780000000000001</v>
      </c>
      <c r="E34" s="581">
        <v>5.7869000000000002</v>
      </c>
      <c r="F34" s="581">
        <v>0.89910000000000001</v>
      </c>
      <c r="G34" s="581">
        <v>1.3133999999999999</v>
      </c>
      <c r="H34" s="581">
        <v>1.2146999999999999</v>
      </c>
    </row>
    <row r="35" spans="1:8">
      <c r="A35" s="581">
        <v>29</v>
      </c>
      <c r="B35" s="581" t="s">
        <v>1548</v>
      </c>
      <c r="C35" s="581">
        <v>1.2203999999999999</v>
      </c>
      <c r="D35" s="581">
        <v>8.3000000000000004E-2</v>
      </c>
      <c r="E35" s="581">
        <v>1.5784</v>
      </c>
      <c r="F35" s="581">
        <v>0.49380000000000002</v>
      </c>
      <c r="G35" s="581">
        <v>1.4683999999999999</v>
      </c>
      <c r="H35" s="581">
        <v>1.6555</v>
      </c>
    </row>
    <row r="36" spans="1:8">
      <c r="A36" s="581">
        <v>30</v>
      </c>
      <c r="B36" s="581" t="s">
        <v>1549</v>
      </c>
      <c r="C36" s="581">
        <v>1.5241</v>
      </c>
      <c r="D36" s="581">
        <v>0.25280000000000002</v>
      </c>
      <c r="E36" s="581">
        <v>3.9554999999999998</v>
      </c>
      <c r="F36" s="581">
        <v>0.71809999999999996</v>
      </c>
      <c r="G36" s="581">
        <v>1.3540000000000001</v>
      </c>
      <c r="H36" s="581">
        <v>1.5603</v>
      </c>
    </row>
    <row r="37" spans="1:8">
      <c r="A37" s="581">
        <v>31</v>
      </c>
      <c r="B37" s="581" t="s">
        <v>1550</v>
      </c>
      <c r="C37" s="581">
        <v>1.3266</v>
      </c>
      <c r="D37" s="581">
        <v>0.1983</v>
      </c>
      <c r="E37" s="581">
        <v>2.5916000000000001</v>
      </c>
      <c r="F37" s="581">
        <v>0.57279999999999998</v>
      </c>
      <c r="G37" s="581">
        <v>1.2504</v>
      </c>
      <c r="H37" s="581">
        <v>1.5597000000000001</v>
      </c>
    </row>
    <row r="38" spans="1:8">
      <c r="A38" s="581">
        <v>32</v>
      </c>
      <c r="B38" s="581" t="s">
        <v>1551</v>
      </c>
      <c r="C38" s="581">
        <v>1.4125000000000001</v>
      </c>
      <c r="D38" s="581">
        <v>0.14050000000000001</v>
      </c>
      <c r="E38" s="581">
        <v>3.07</v>
      </c>
      <c r="F38" s="581">
        <v>0.68840000000000001</v>
      </c>
      <c r="G38" s="581">
        <v>1.5653999999999999</v>
      </c>
      <c r="H38" s="581">
        <v>1.6623000000000001</v>
      </c>
    </row>
    <row r="39" spans="1:8">
      <c r="A39" s="581">
        <v>33</v>
      </c>
      <c r="B39" s="581" t="s">
        <v>1552</v>
      </c>
      <c r="C39" s="581">
        <v>1.4336</v>
      </c>
      <c r="D39" s="581">
        <v>0.40160000000000001</v>
      </c>
      <c r="E39" s="581">
        <v>15.6928</v>
      </c>
      <c r="F39" s="581">
        <v>0.81069999999999998</v>
      </c>
      <c r="G39" s="581">
        <v>1.1553</v>
      </c>
      <c r="H39" s="581">
        <v>1.0900000000000001</v>
      </c>
    </row>
    <row r="40" spans="1:8">
      <c r="A40" s="581">
        <v>34</v>
      </c>
      <c r="B40" s="581" t="s">
        <v>1553</v>
      </c>
      <c r="C40" s="581">
        <v>1.5461</v>
      </c>
      <c r="D40" s="581">
        <v>0.44590000000000002</v>
      </c>
      <c r="E40" s="581">
        <v>5.8113000000000001</v>
      </c>
      <c r="F40" s="581">
        <v>0.82299999999999995</v>
      </c>
      <c r="G40" s="581">
        <v>1.1865000000000001</v>
      </c>
      <c r="H40" s="581">
        <v>1.4180999999999999</v>
      </c>
    </row>
    <row r="41" spans="1:8">
      <c r="A41" s="581">
        <v>35</v>
      </c>
      <c r="B41" s="581" t="s">
        <v>1554</v>
      </c>
      <c r="C41" s="581">
        <v>1.2887999999999999</v>
      </c>
      <c r="D41" s="581">
        <v>0.16969999999999999</v>
      </c>
      <c r="E41" s="581">
        <v>3.6072000000000002</v>
      </c>
      <c r="F41" s="581">
        <v>0.8599</v>
      </c>
      <c r="G41" s="581">
        <v>1.2662</v>
      </c>
      <c r="H41" s="581">
        <v>1.3262</v>
      </c>
    </row>
    <row r="42" spans="1:8">
      <c r="A42" s="581">
        <v>36</v>
      </c>
      <c r="B42" s="581" t="s">
        <v>1555</v>
      </c>
      <c r="C42" s="581">
        <v>1.4019999999999999</v>
      </c>
      <c r="D42" s="581">
        <v>0.24129999999999999</v>
      </c>
      <c r="E42" s="581">
        <v>5.6569000000000003</v>
      </c>
      <c r="F42" s="581">
        <v>0.94630000000000003</v>
      </c>
      <c r="G42" s="581">
        <v>1.2571000000000001</v>
      </c>
      <c r="H42" s="581">
        <v>1.2866</v>
      </c>
    </row>
    <row r="43" spans="1:8">
      <c r="A43" s="581">
        <v>37</v>
      </c>
      <c r="B43" s="581" t="s">
        <v>1556</v>
      </c>
      <c r="C43" s="581">
        <v>1.5999000000000001</v>
      </c>
      <c r="D43" s="581">
        <v>0.14510000000000001</v>
      </c>
      <c r="E43" s="581">
        <v>2.7808999999999999</v>
      </c>
      <c r="F43" s="581">
        <v>0.80779999999999996</v>
      </c>
      <c r="G43" s="581">
        <v>2.0771999999999999</v>
      </c>
      <c r="H43" s="581">
        <v>2.7122000000000002</v>
      </c>
    </row>
    <row r="44" spans="1:8">
      <c r="A44" s="581">
        <v>38</v>
      </c>
      <c r="B44" s="581" t="s">
        <v>1557</v>
      </c>
      <c r="C44" s="581">
        <v>1.2698</v>
      </c>
      <c r="D44" s="581">
        <v>9.5000000000000001E-2</v>
      </c>
      <c r="E44" s="581">
        <v>2.5998000000000001</v>
      </c>
      <c r="F44" s="581">
        <v>0.76519999999999999</v>
      </c>
      <c r="G44" s="581">
        <v>1.5397000000000001</v>
      </c>
      <c r="H44" s="581">
        <v>1.4544999999999999</v>
      </c>
    </row>
    <row r="45" spans="1:8">
      <c r="A45" s="581">
        <v>39</v>
      </c>
      <c r="B45" s="581" t="s">
        <v>1558</v>
      </c>
      <c r="C45" s="581">
        <v>1.1918</v>
      </c>
      <c r="D45" s="581">
        <v>0.15429999999999999</v>
      </c>
      <c r="E45" s="581">
        <v>1.7428999999999999</v>
      </c>
      <c r="F45" s="581">
        <v>0.55979999999999996</v>
      </c>
      <c r="G45" s="581">
        <v>1.1695</v>
      </c>
      <c r="H45" s="581">
        <v>1.482</v>
      </c>
    </row>
    <row r="46" spans="1:8">
      <c r="A46" s="581">
        <v>40</v>
      </c>
      <c r="B46" s="581" t="s">
        <v>1559</v>
      </c>
      <c r="C46" s="581">
        <v>1.3994</v>
      </c>
      <c r="D46" s="581">
        <v>7.8899999999999998E-2</v>
      </c>
      <c r="E46" s="581">
        <v>1.3483000000000001</v>
      </c>
      <c r="F46" s="581">
        <v>0.78800000000000003</v>
      </c>
      <c r="G46" s="581">
        <v>2.1360999999999999</v>
      </c>
      <c r="H46" s="581">
        <v>2.8881000000000001</v>
      </c>
    </row>
    <row r="47" spans="1:8">
      <c r="A47" s="581">
        <v>41</v>
      </c>
      <c r="B47" s="581" t="s">
        <v>1560</v>
      </c>
      <c r="C47" s="581">
        <v>1.5130999999999999</v>
      </c>
      <c r="D47" s="581">
        <v>0.1057</v>
      </c>
      <c r="E47" s="581">
        <v>1.9116</v>
      </c>
      <c r="F47" s="581">
        <v>0.78600000000000003</v>
      </c>
      <c r="G47" s="581">
        <v>2.3597000000000001</v>
      </c>
      <c r="H47" s="581">
        <v>3.5568</v>
      </c>
    </row>
    <row r="48" spans="1:8">
      <c r="A48" s="581">
        <v>42</v>
      </c>
      <c r="B48" s="581" t="s">
        <v>1561</v>
      </c>
      <c r="C48" s="581">
        <v>1.6281000000000001</v>
      </c>
      <c r="D48" s="581">
        <v>0.13639999999999999</v>
      </c>
      <c r="E48" s="581">
        <v>2.4961000000000002</v>
      </c>
      <c r="F48" s="581">
        <v>0.86980000000000002</v>
      </c>
      <c r="G48" s="581">
        <v>2.0977999999999999</v>
      </c>
      <c r="H48" s="581">
        <v>2.5194999999999999</v>
      </c>
    </row>
    <row r="49" spans="1:8">
      <c r="A49" s="581">
        <v>43</v>
      </c>
      <c r="B49" s="581" t="s">
        <v>1562</v>
      </c>
      <c r="C49" s="581">
        <v>1.5792999999999999</v>
      </c>
      <c r="D49" s="581">
        <v>0.22120000000000001</v>
      </c>
      <c r="E49" s="581">
        <v>3.5341999999999998</v>
      </c>
      <c r="F49" s="581">
        <v>0.87749999999999995</v>
      </c>
      <c r="G49" s="581">
        <v>1.4342999999999999</v>
      </c>
      <c r="H49" s="581">
        <v>1.6749000000000001</v>
      </c>
    </row>
    <row r="50" spans="1:8">
      <c r="A50" s="581">
        <v>44</v>
      </c>
      <c r="B50" s="581" t="s">
        <v>1563</v>
      </c>
      <c r="C50" s="581">
        <v>1.4605999999999999</v>
      </c>
      <c r="D50" s="581">
        <v>0.1285</v>
      </c>
      <c r="E50" s="581">
        <v>1.9692000000000001</v>
      </c>
      <c r="F50" s="581">
        <v>0.95899999999999996</v>
      </c>
      <c r="G50" s="581">
        <v>1.5650999999999999</v>
      </c>
      <c r="H50" s="581">
        <v>1.8136000000000001</v>
      </c>
    </row>
    <row r="51" spans="1:8">
      <c r="A51" s="581">
        <v>45</v>
      </c>
      <c r="B51" s="581" t="s">
        <v>1564</v>
      </c>
      <c r="C51" s="581">
        <v>1.8299000000000001</v>
      </c>
      <c r="D51" s="581">
        <v>0.16900000000000001</v>
      </c>
      <c r="E51" s="581">
        <v>2.4714</v>
      </c>
      <c r="F51" s="581">
        <v>0.91220000000000001</v>
      </c>
      <c r="G51" s="581">
        <v>2.7839</v>
      </c>
      <c r="H51" s="581">
        <v>4.0278</v>
      </c>
    </row>
    <row r="52" spans="1:8">
      <c r="A52" s="581">
        <v>46</v>
      </c>
      <c r="B52" s="581" t="s">
        <v>1565</v>
      </c>
      <c r="C52" s="581">
        <v>1.3954</v>
      </c>
      <c r="D52" s="581">
        <v>5.91E-2</v>
      </c>
      <c r="E52" s="581">
        <v>2.7549999999999999</v>
      </c>
      <c r="F52" s="581">
        <v>0.92130000000000001</v>
      </c>
      <c r="G52" s="581">
        <v>2.7204999999999999</v>
      </c>
      <c r="H52" s="581">
        <v>1.4296</v>
      </c>
    </row>
    <row r="53" spans="1:8">
      <c r="A53" s="581">
        <v>47</v>
      </c>
      <c r="B53" s="581" t="s">
        <v>1566</v>
      </c>
      <c r="C53" s="581">
        <v>1.3303</v>
      </c>
      <c r="D53" s="581">
        <v>0.12790000000000001</v>
      </c>
      <c r="E53" s="581">
        <v>2.2242999999999999</v>
      </c>
      <c r="F53" s="581">
        <v>0.84960000000000002</v>
      </c>
      <c r="G53" s="581">
        <v>1.4411</v>
      </c>
      <c r="H53" s="581">
        <v>1.6556999999999999</v>
      </c>
    </row>
    <row r="54" spans="1:8">
      <c r="A54" s="581">
        <v>48</v>
      </c>
      <c r="B54" s="581" t="s">
        <v>1567</v>
      </c>
      <c r="C54" s="581">
        <v>1.4478</v>
      </c>
      <c r="D54" s="581">
        <v>0.25009999999999999</v>
      </c>
      <c r="E54" s="581">
        <v>4.1311999999999998</v>
      </c>
      <c r="F54" s="581">
        <v>0.94910000000000005</v>
      </c>
      <c r="G54" s="581">
        <v>1.2925</v>
      </c>
      <c r="H54" s="581">
        <v>1.4950000000000001</v>
      </c>
    </row>
    <row r="55" spans="1:8">
      <c r="A55" s="581">
        <v>49</v>
      </c>
      <c r="B55" s="581" t="s">
        <v>1568</v>
      </c>
      <c r="C55" s="581">
        <v>1.4021999999999999</v>
      </c>
      <c r="D55" s="581">
        <v>0.13469999999999999</v>
      </c>
      <c r="E55" s="581">
        <v>1.7552000000000001</v>
      </c>
      <c r="F55" s="581">
        <v>0.89300000000000002</v>
      </c>
      <c r="G55" s="581">
        <v>1.601</v>
      </c>
      <c r="H55" s="581">
        <v>2.5194999999999999</v>
      </c>
    </row>
    <row r="56" spans="1:8">
      <c r="A56" s="581">
        <v>50</v>
      </c>
      <c r="B56" s="581" t="s">
        <v>1569</v>
      </c>
      <c r="C56" s="581">
        <v>1.4069</v>
      </c>
      <c r="D56" s="581">
        <v>0.22</v>
      </c>
      <c r="E56" s="581">
        <v>7.6863999999999999</v>
      </c>
      <c r="F56" s="581">
        <v>0.8861</v>
      </c>
      <c r="G56" s="581">
        <v>1.2889999999999999</v>
      </c>
      <c r="H56" s="581">
        <v>1.1946000000000001</v>
      </c>
    </row>
    <row r="57" spans="1:8">
      <c r="A57" s="581">
        <v>51</v>
      </c>
      <c r="B57" s="581" t="s">
        <v>1570</v>
      </c>
      <c r="C57" s="581">
        <v>1.4941</v>
      </c>
      <c r="D57" s="581">
        <v>0.31509999999999999</v>
      </c>
      <c r="E57" s="581">
        <v>5.8053999999999997</v>
      </c>
      <c r="F57" s="581">
        <v>0.81950000000000001</v>
      </c>
      <c r="G57" s="581">
        <v>1.2445999999999999</v>
      </c>
      <c r="H57" s="581">
        <v>1.3387</v>
      </c>
    </row>
    <row r="58" spans="1:8">
      <c r="A58" s="581">
        <v>52</v>
      </c>
      <c r="B58" s="581" t="s">
        <v>1571</v>
      </c>
      <c r="C58" s="581">
        <v>1.3813</v>
      </c>
      <c r="D58" s="581">
        <v>0.27439999999999998</v>
      </c>
      <c r="E58" s="581">
        <v>9.1258999999999997</v>
      </c>
      <c r="F58" s="581">
        <v>0.88219999999999998</v>
      </c>
      <c r="G58" s="581">
        <v>1.1918</v>
      </c>
      <c r="H58" s="581">
        <v>1.1402000000000001</v>
      </c>
    </row>
    <row r="59" spans="1:8">
      <c r="A59" s="581">
        <v>53</v>
      </c>
      <c r="B59" s="581" t="s">
        <v>1572</v>
      </c>
      <c r="C59" s="581">
        <v>1.5526</v>
      </c>
      <c r="D59" s="581">
        <v>0.30969999999999998</v>
      </c>
      <c r="E59" s="581">
        <v>5.7133000000000003</v>
      </c>
      <c r="F59" s="581">
        <v>0.9667</v>
      </c>
      <c r="G59" s="581">
        <v>1.2802</v>
      </c>
      <c r="H59" s="581">
        <v>1.3872</v>
      </c>
    </row>
    <row r="60" spans="1:8">
      <c r="A60" s="581">
        <v>54</v>
      </c>
      <c r="B60" s="581" t="s">
        <v>1573</v>
      </c>
      <c r="C60" s="581">
        <v>1.5435000000000001</v>
      </c>
      <c r="D60" s="581">
        <v>0.21640000000000001</v>
      </c>
      <c r="E60" s="581">
        <v>4.2709999999999999</v>
      </c>
      <c r="F60" s="581">
        <v>0.86199999999999999</v>
      </c>
      <c r="G60" s="581">
        <v>1.3787</v>
      </c>
      <c r="H60" s="581">
        <v>1.4982</v>
      </c>
    </row>
    <row r="61" spans="1:8">
      <c r="A61" s="581">
        <v>55</v>
      </c>
      <c r="B61" s="581" t="s">
        <v>1574</v>
      </c>
      <c r="C61" s="581">
        <v>1.4391</v>
      </c>
      <c r="D61" s="581">
        <v>0.27889999999999998</v>
      </c>
      <c r="E61" s="581">
        <v>8.3101000000000003</v>
      </c>
      <c r="F61" s="581">
        <v>0.9385</v>
      </c>
      <c r="G61" s="581">
        <v>1.22</v>
      </c>
      <c r="H61" s="581">
        <v>1.1795</v>
      </c>
    </row>
    <row r="62" spans="1:8">
      <c r="A62" s="581">
        <v>56</v>
      </c>
      <c r="B62" s="581" t="s">
        <v>1575</v>
      </c>
      <c r="C62" s="581">
        <v>1.4748000000000001</v>
      </c>
      <c r="D62" s="581">
        <v>0.31090000000000001</v>
      </c>
      <c r="E62" s="581">
        <v>13.0329</v>
      </c>
      <c r="F62" s="581">
        <v>0.92730000000000001</v>
      </c>
      <c r="G62" s="581">
        <v>1.2191000000000001</v>
      </c>
      <c r="H62" s="581">
        <v>1.1198999999999999</v>
      </c>
    </row>
    <row r="63" spans="1:8">
      <c r="A63" s="581">
        <v>57</v>
      </c>
      <c r="B63" s="581" t="s">
        <v>1576</v>
      </c>
      <c r="C63" s="581">
        <v>1.6704000000000001</v>
      </c>
      <c r="D63" s="581">
        <v>0.25159999999999999</v>
      </c>
      <c r="E63" s="581">
        <v>8.2835999999999999</v>
      </c>
      <c r="F63" s="581">
        <v>1.0165</v>
      </c>
      <c r="G63" s="581">
        <v>1.5396000000000001</v>
      </c>
      <c r="H63" s="581">
        <v>1.4059999999999999</v>
      </c>
    </row>
    <row r="64" spans="1:8">
      <c r="A64" s="581">
        <v>58</v>
      </c>
      <c r="B64" s="581" t="s">
        <v>1577</v>
      </c>
      <c r="C64" s="581">
        <v>1.3569</v>
      </c>
      <c r="D64" s="581">
        <v>0.1613</v>
      </c>
      <c r="E64" s="581">
        <v>7.3118999999999996</v>
      </c>
      <c r="F64" s="581">
        <v>0.87219999999999998</v>
      </c>
      <c r="G64" s="581">
        <v>1.3351999999999999</v>
      </c>
      <c r="H64" s="581">
        <v>1.1526000000000001</v>
      </c>
    </row>
    <row r="65" spans="1:8">
      <c r="A65" s="581">
        <v>59</v>
      </c>
      <c r="B65" s="581" t="s">
        <v>1578</v>
      </c>
      <c r="C65" s="581">
        <v>1.4837</v>
      </c>
      <c r="D65" s="581">
        <v>0.21</v>
      </c>
      <c r="E65" s="581">
        <v>5.4728000000000003</v>
      </c>
      <c r="F65" s="581">
        <v>0.84360000000000002</v>
      </c>
      <c r="G65" s="581">
        <v>1.3839999999999999</v>
      </c>
      <c r="H65" s="581">
        <v>1.3319000000000001</v>
      </c>
    </row>
    <row r="66" spans="1:8">
      <c r="A66" s="581">
        <v>60</v>
      </c>
      <c r="B66" s="581" t="s">
        <v>1579</v>
      </c>
      <c r="C66" s="581">
        <v>1.4274</v>
      </c>
      <c r="D66" s="581">
        <v>0.21909999999999999</v>
      </c>
      <c r="E66" s="581">
        <v>10.359299999999999</v>
      </c>
      <c r="F66" s="581">
        <v>0.79690000000000005</v>
      </c>
      <c r="G66" s="581">
        <v>1.2777000000000001</v>
      </c>
      <c r="H66" s="581">
        <v>1.1189</v>
      </c>
    </row>
    <row r="67" spans="1:8">
      <c r="A67" s="581">
        <v>61</v>
      </c>
      <c r="B67" s="581" t="s">
        <v>1580</v>
      </c>
      <c r="C67" s="581">
        <v>1.504</v>
      </c>
      <c r="D67" s="581">
        <v>0.28549999999999998</v>
      </c>
      <c r="E67" s="581">
        <v>7.1635</v>
      </c>
      <c r="F67" s="581">
        <v>0.86209999999999998</v>
      </c>
      <c r="G67" s="581">
        <v>1.2684</v>
      </c>
      <c r="H67" s="581">
        <v>1.2547999999999999</v>
      </c>
    </row>
    <row r="68" spans="1:8">
      <c r="A68" s="581">
        <v>62</v>
      </c>
      <c r="B68" s="581" t="s">
        <v>1581</v>
      </c>
      <c r="C68" s="581">
        <v>0.72009999999999996</v>
      </c>
      <c r="D68" s="581">
        <v>8.5699999999999998E-2</v>
      </c>
      <c r="E68" s="581">
        <v>2.3489</v>
      </c>
      <c r="F68" s="581">
        <v>0.44259999999999999</v>
      </c>
      <c r="G68" s="581">
        <v>0</v>
      </c>
      <c r="H68" s="581">
        <v>0</v>
      </c>
    </row>
    <row r="70" spans="1:8">
      <c r="C70" s="581">
        <f>SUM(C6:C68)</f>
        <v>87.169799999999981</v>
      </c>
      <c r="D70" s="581">
        <f t="shared" ref="D70:H70" si="0">SUM(D6:D68)</f>
        <v>10.994699999999998</v>
      </c>
      <c r="E70" s="581">
        <f t="shared" si="0"/>
        <v>270.92200000000003</v>
      </c>
      <c r="F70" s="581">
        <f t="shared" si="0"/>
        <v>44.905300000000004</v>
      </c>
      <c r="G70" s="581">
        <f t="shared" si="0"/>
        <v>92.469200000000001</v>
      </c>
      <c r="H70" s="581">
        <f t="shared" si="0"/>
        <v>100.72519999999999</v>
      </c>
    </row>
    <row r="71" spans="1:8">
      <c r="C71" s="581">
        <f>C70-SUM(somerset!B2:B63)</f>
        <v>-1.0780000000000456</v>
      </c>
      <c r="D71" s="581">
        <f>D70-SUM(somerset!C2:C63)</f>
        <v>-0.26379999999999804</v>
      </c>
      <c r="E71" s="581">
        <f>E70-SUM(somerset!D2:D63)</f>
        <v>-13.097899999999981</v>
      </c>
      <c r="F71" s="581">
        <f>F70-SUM(somerset!E2:E63)</f>
        <v>-1.8068000000000026</v>
      </c>
      <c r="G71" s="581">
        <f>G70-SUM(somerset!F2:F63)</f>
        <v>3.3659000000000106</v>
      </c>
      <c r="H71" s="581">
        <f>H70-SUM(somerset!G2:G63)</f>
        <v>6.6126000000000005</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H71"/>
  <sheetViews>
    <sheetView topLeftCell="A43" workbookViewId="0">
      <selection activeCell="N72" sqref="N72"/>
    </sheetView>
  </sheetViews>
  <sheetFormatPr defaultColWidth="9.109375" defaultRowHeight="14.4"/>
  <cols>
    <col min="1" max="16384" width="9.109375" style="581"/>
  </cols>
  <sheetData>
    <row r="1" spans="1:8">
      <c r="A1" s="581" t="s">
        <v>1513</v>
      </c>
    </row>
    <row r="2" spans="1:8">
      <c r="A2" s="581" t="s">
        <v>1600</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1.4363999999999999</v>
      </c>
      <c r="D7" s="581">
        <v>0.34699999999999998</v>
      </c>
      <c r="E7" s="581">
        <v>14.452199999999999</v>
      </c>
      <c r="F7" s="581">
        <v>0.65620000000000001</v>
      </c>
      <c r="G7" s="581">
        <v>1.4285000000000001</v>
      </c>
      <c r="H7" s="581">
        <v>1.2484999999999999</v>
      </c>
    </row>
    <row r="8" spans="1:8">
      <c r="A8" s="581">
        <v>2</v>
      </c>
      <c r="B8" s="581" t="s">
        <v>1521</v>
      </c>
      <c r="C8" s="581">
        <v>1.5537000000000001</v>
      </c>
      <c r="D8" s="581">
        <v>0.63039999999999996</v>
      </c>
      <c r="E8" s="581">
        <v>27.0244</v>
      </c>
      <c r="F8" s="581">
        <v>1.0002</v>
      </c>
      <c r="G8" s="581">
        <v>1.2646999999999999</v>
      </c>
      <c r="H8" s="581">
        <v>1.1469</v>
      </c>
    </row>
    <row r="9" spans="1:8">
      <c r="A9" s="581">
        <v>3</v>
      </c>
      <c r="B9" s="581" t="s">
        <v>1522</v>
      </c>
      <c r="C9" s="581">
        <v>1</v>
      </c>
      <c r="D9" s="581">
        <v>0</v>
      </c>
      <c r="E9" s="581">
        <v>0</v>
      </c>
      <c r="F9" s="581">
        <v>0</v>
      </c>
      <c r="G9" s="581">
        <v>0</v>
      </c>
      <c r="H9" s="581">
        <v>0</v>
      </c>
    </row>
    <row r="10" spans="1:8">
      <c r="A10" s="581">
        <v>4</v>
      </c>
      <c r="B10" s="581" t="s">
        <v>1523</v>
      </c>
      <c r="C10" s="581">
        <v>1.5566</v>
      </c>
      <c r="D10" s="581">
        <v>0.29570000000000002</v>
      </c>
      <c r="E10" s="581">
        <v>5.1654999999999998</v>
      </c>
      <c r="F10" s="581">
        <v>0.84099999999999997</v>
      </c>
      <c r="G10" s="581">
        <v>1.8875</v>
      </c>
      <c r="H10" s="581">
        <v>2.1718999999999999</v>
      </c>
    </row>
    <row r="11" spans="1:8">
      <c r="A11" s="581">
        <v>5</v>
      </c>
      <c r="B11" s="581" t="s">
        <v>1524</v>
      </c>
      <c r="C11" s="581">
        <v>1.5099</v>
      </c>
      <c r="D11" s="581">
        <v>0.20469999999999999</v>
      </c>
      <c r="E11" s="581">
        <v>3.9845999999999999</v>
      </c>
      <c r="F11" s="581">
        <v>0.62560000000000004</v>
      </c>
      <c r="G11" s="581">
        <v>3.2393999999999998</v>
      </c>
      <c r="H11" s="581">
        <v>3.0095000000000001</v>
      </c>
    </row>
    <row r="12" spans="1:8">
      <c r="A12" s="581">
        <v>6</v>
      </c>
      <c r="B12" s="581" t="s">
        <v>1525</v>
      </c>
      <c r="C12" s="581">
        <v>1.2251000000000001</v>
      </c>
      <c r="D12" s="581">
        <v>0.1883</v>
      </c>
      <c r="E12" s="581">
        <v>2.6415999999999999</v>
      </c>
      <c r="F12" s="581">
        <v>0.71099999999999997</v>
      </c>
      <c r="G12" s="581">
        <v>1.4353</v>
      </c>
      <c r="H12" s="581">
        <v>2.1589999999999998</v>
      </c>
    </row>
    <row r="13" spans="1:8">
      <c r="A13" s="581">
        <v>7</v>
      </c>
      <c r="B13" s="581" t="s">
        <v>1526</v>
      </c>
      <c r="C13" s="581">
        <v>1.6251</v>
      </c>
      <c r="D13" s="581">
        <v>0.43880000000000002</v>
      </c>
      <c r="E13" s="581">
        <v>9.1762999999999995</v>
      </c>
      <c r="F13" s="581">
        <v>0.86860000000000004</v>
      </c>
      <c r="G13" s="581">
        <v>1.5430999999999999</v>
      </c>
      <c r="H13" s="581">
        <v>1.6903999999999999</v>
      </c>
    </row>
    <row r="14" spans="1:8">
      <c r="A14" s="581">
        <v>8</v>
      </c>
      <c r="B14" s="581" t="s">
        <v>1527</v>
      </c>
      <c r="C14" s="581">
        <v>1.5245</v>
      </c>
      <c r="D14" s="581">
        <v>0.30480000000000002</v>
      </c>
      <c r="E14" s="581">
        <v>7.3231000000000002</v>
      </c>
      <c r="F14" s="581">
        <v>0.59219999999999995</v>
      </c>
      <c r="G14" s="581">
        <v>1.7585999999999999</v>
      </c>
      <c r="H14" s="581">
        <v>1.6568000000000001</v>
      </c>
    </row>
    <row r="15" spans="1:8">
      <c r="A15" s="581">
        <v>9</v>
      </c>
      <c r="B15" s="581" t="s">
        <v>1528</v>
      </c>
      <c r="C15" s="581">
        <v>1.4824999999999999</v>
      </c>
      <c r="D15" s="581">
        <v>0.23250000000000001</v>
      </c>
      <c r="E15" s="581">
        <v>4.6178999999999997</v>
      </c>
      <c r="F15" s="581">
        <v>0.65820000000000001</v>
      </c>
      <c r="G15" s="581">
        <v>2.0384000000000002</v>
      </c>
      <c r="H15" s="581">
        <v>2.1680000000000001</v>
      </c>
    </row>
    <row r="16" spans="1:8">
      <c r="A16" s="581">
        <v>10</v>
      </c>
      <c r="B16" s="581" t="s">
        <v>1529</v>
      </c>
      <c r="C16" s="581">
        <v>1.2817000000000001</v>
      </c>
      <c r="D16" s="581">
        <v>0.1764</v>
      </c>
      <c r="E16" s="581">
        <v>3.2511999999999999</v>
      </c>
      <c r="F16" s="581">
        <v>0.39050000000000001</v>
      </c>
      <c r="G16" s="581">
        <v>1.5911</v>
      </c>
      <c r="H16" s="581">
        <v>1.7871999999999999</v>
      </c>
    </row>
    <row r="17" spans="1:8">
      <c r="A17" s="581">
        <v>11</v>
      </c>
      <c r="B17" s="581" t="s">
        <v>1530</v>
      </c>
      <c r="C17" s="581">
        <v>1.4661</v>
      </c>
      <c r="D17" s="581">
        <v>0.31459999999999999</v>
      </c>
      <c r="E17" s="581">
        <v>6.4215</v>
      </c>
      <c r="F17" s="581">
        <v>0.6734</v>
      </c>
      <c r="G17" s="581">
        <v>1.5680000000000001</v>
      </c>
      <c r="H17" s="581">
        <v>1.6742999999999999</v>
      </c>
    </row>
    <row r="18" spans="1:8">
      <c r="A18" s="581">
        <v>12</v>
      </c>
      <c r="B18" s="581" t="s">
        <v>1531</v>
      </c>
      <c r="C18" s="581">
        <v>1.5755999999999999</v>
      </c>
      <c r="D18" s="581">
        <v>0.3533</v>
      </c>
      <c r="E18" s="581">
        <v>6.3605999999999998</v>
      </c>
      <c r="F18" s="581">
        <v>0.68540000000000001</v>
      </c>
      <c r="G18" s="581">
        <v>1.6841999999999999</v>
      </c>
      <c r="H18" s="581">
        <v>1.9235</v>
      </c>
    </row>
    <row r="19" spans="1:8">
      <c r="A19" s="581">
        <v>13</v>
      </c>
      <c r="B19" s="581" t="s">
        <v>1532</v>
      </c>
      <c r="C19" s="581">
        <v>1.4927999999999999</v>
      </c>
      <c r="D19" s="581">
        <v>0.44900000000000001</v>
      </c>
      <c r="E19" s="581">
        <v>6.8998999999999997</v>
      </c>
      <c r="F19" s="581">
        <v>0.79830000000000001</v>
      </c>
      <c r="G19" s="581">
        <v>1.4020999999999999</v>
      </c>
      <c r="H19" s="581">
        <v>1.7325999999999999</v>
      </c>
    </row>
    <row r="20" spans="1:8">
      <c r="A20" s="581">
        <v>14</v>
      </c>
      <c r="B20" s="581" t="s">
        <v>1533</v>
      </c>
      <c r="C20" s="581">
        <v>1.4356</v>
      </c>
      <c r="D20" s="581">
        <v>0.31459999999999999</v>
      </c>
      <c r="E20" s="581">
        <v>6.0461</v>
      </c>
      <c r="F20" s="581">
        <v>0.68289999999999995</v>
      </c>
      <c r="G20" s="581">
        <v>1.5313000000000001</v>
      </c>
      <c r="H20" s="581">
        <v>1.6543000000000001</v>
      </c>
    </row>
    <row r="21" spans="1:8">
      <c r="A21" s="581">
        <v>15</v>
      </c>
      <c r="B21" s="581" t="s">
        <v>1534</v>
      </c>
      <c r="C21" s="581">
        <v>1</v>
      </c>
      <c r="D21" s="581">
        <v>0</v>
      </c>
      <c r="E21" s="581">
        <v>0</v>
      </c>
      <c r="F21" s="581">
        <v>0</v>
      </c>
      <c r="G21" s="581">
        <v>0</v>
      </c>
      <c r="H21" s="581">
        <v>0</v>
      </c>
    </row>
    <row r="22" spans="1:8">
      <c r="A22" s="581">
        <v>16</v>
      </c>
      <c r="B22" s="581" t="s">
        <v>1535</v>
      </c>
      <c r="C22" s="581">
        <v>1</v>
      </c>
      <c r="D22" s="581">
        <v>0</v>
      </c>
      <c r="E22" s="581">
        <v>0</v>
      </c>
      <c r="F22" s="581">
        <v>0</v>
      </c>
      <c r="G22" s="581">
        <v>0</v>
      </c>
      <c r="H22" s="581">
        <v>0</v>
      </c>
    </row>
    <row r="23" spans="1:8">
      <c r="A23" s="581">
        <v>17</v>
      </c>
      <c r="B23" s="581" t="s">
        <v>1536</v>
      </c>
      <c r="C23" s="581">
        <v>1.5259</v>
      </c>
      <c r="D23" s="581">
        <v>0.25990000000000002</v>
      </c>
      <c r="E23" s="581">
        <v>5.9745999999999997</v>
      </c>
      <c r="F23" s="581">
        <v>0.71260000000000001</v>
      </c>
      <c r="G23" s="581">
        <v>1.9609000000000001</v>
      </c>
      <c r="H23" s="581">
        <v>1.9750000000000001</v>
      </c>
    </row>
    <row r="24" spans="1:8">
      <c r="A24" s="581">
        <v>18</v>
      </c>
      <c r="B24" s="581" t="s">
        <v>1537</v>
      </c>
      <c r="C24" s="581">
        <v>1.5154000000000001</v>
      </c>
      <c r="D24" s="581">
        <v>0.35360000000000003</v>
      </c>
      <c r="E24" s="581">
        <v>6.4206000000000003</v>
      </c>
      <c r="F24" s="581">
        <v>0.81940000000000002</v>
      </c>
      <c r="G24" s="581">
        <v>1.5468999999999999</v>
      </c>
      <c r="H24" s="581">
        <v>1.7755000000000001</v>
      </c>
    </row>
    <row r="25" spans="1:8">
      <c r="A25" s="581">
        <v>19</v>
      </c>
      <c r="B25" s="581" t="s">
        <v>1538</v>
      </c>
      <c r="C25" s="581">
        <v>1.7084999999999999</v>
      </c>
      <c r="D25" s="581">
        <v>0.2321</v>
      </c>
      <c r="E25" s="581">
        <v>6.7226999999999997</v>
      </c>
      <c r="F25" s="581">
        <v>0.61050000000000004</v>
      </c>
      <c r="G25" s="581">
        <v>3.7989999999999999</v>
      </c>
      <c r="H25" s="581">
        <v>5.0364000000000004</v>
      </c>
    </row>
    <row r="26" spans="1:8">
      <c r="A26" s="581">
        <v>20</v>
      </c>
      <c r="B26" s="581" t="s">
        <v>1539</v>
      </c>
      <c r="C26" s="581">
        <v>1.4096</v>
      </c>
      <c r="D26" s="581">
        <v>0.30959999999999999</v>
      </c>
      <c r="E26" s="581">
        <v>7.3514999999999997</v>
      </c>
      <c r="F26" s="581">
        <v>0.53700000000000003</v>
      </c>
      <c r="G26" s="581">
        <v>1.4757</v>
      </c>
      <c r="H26" s="581">
        <v>1.4648000000000001</v>
      </c>
    </row>
    <row r="27" spans="1:8">
      <c r="A27" s="581">
        <v>21</v>
      </c>
      <c r="B27" s="581" t="s">
        <v>1540</v>
      </c>
      <c r="C27" s="581">
        <v>1.3653999999999999</v>
      </c>
      <c r="D27" s="581">
        <v>0.20749999999999999</v>
      </c>
      <c r="E27" s="581">
        <v>5.2095000000000002</v>
      </c>
      <c r="F27" s="581">
        <v>0.62780000000000002</v>
      </c>
      <c r="G27" s="581">
        <v>1.7126999999999999</v>
      </c>
      <c r="H27" s="581">
        <v>1.6057999999999999</v>
      </c>
    </row>
    <row r="28" spans="1:8">
      <c r="A28" s="581">
        <v>22</v>
      </c>
      <c r="B28" s="581" t="s">
        <v>1541</v>
      </c>
      <c r="C28" s="581">
        <v>1.3848</v>
      </c>
      <c r="D28" s="581">
        <v>0.23350000000000001</v>
      </c>
      <c r="E28" s="581">
        <v>4.2117000000000004</v>
      </c>
      <c r="F28" s="581">
        <v>0.58850000000000002</v>
      </c>
      <c r="G28" s="581">
        <v>1.7265999999999999</v>
      </c>
      <c r="H28" s="581">
        <v>1.9782</v>
      </c>
    </row>
    <row r="29" spans="1:8">
      <c r="A29" s="581">
        <v>23</v>
      </c>
      <c r="B29" s="581" t="s">
        <v>1542</v>
      </c>
      <c r="C29" s="581">
        <v>1.5469999999999999</v>
      </c>
      <c r="D29" s="581">
        <v>0.31919999999999998</v>
      </c>
      <c r="E29" s="581">
        <v>6.6555</v>
      </c>
      <c r="F29" s="581">
        <v>0.69469999999999998</v>
      </c>
      <c r="G29" s="581">
        <v>1.7686999999999999</v>
      </c>
      <c r="H29" s="581">
        <v>1.8757999999999999</v>
      </c>
    </row>
    <row r="30" spans="1:8">
      <c r="A30" s="581">
        <v>24</v>
      </c>
      <c r="B30" s="581" t="s">
        <v>1543</v>
      </c>
      <c r="C30" s="581">
        <v>1</v>
      </c>
      <c r="D30" s="581">
        <v>0</v>
      </c>
      <c r="E30" s="581">
        <v>0</v>
      </c>
      <c r="F30" s="581">
        <v>0</v>
      </c>
      <c r="G30" s="581">
        <v>0</v>
      </c>
      <c r="H30" s="581">
        <v>0</v>
      </c>
    </row>
    <row r="31" spans="1:8">
      <c r="A31" s="581">
        <v>25</v>
      </c>
      <c r="B31" s="581" t="s">
        <v>1544</v>
      </c>
      <c r="C31" s="581">
        <v>1.3776999999999999</v>
      </c>
      <c r="D31" s="581">
        <v>0.16900000000000001</v>
      </c>
      <c r="E31" s="581">
        <v>2.4773999999999998</v>
      </c>
      <c r="F31" s="581">
        <v>0.55000000000000004</v>
      </c>
      <c r="G31" s="581">
        <v>2.2105000000000001</v>
      </c>
      <c r="H31" s="581">
        <v>3.4296000000000002</v>
      </c>
    </row>
    <row r="32" spans="1:8">
      <c r="A32" s="581">
        <v>26</v>
      </c>
      <c r="B32" s="581" t="s">
        <v>1545</v>
      </c>
      <c r="C32" s="581">
        <v>1.488</v>
      </c>
      <c r="D32" s="581">
        <v>0.2349</v>
      </c>
      <c r="E32" s="581">
        <v>4.7900999999999998</v>
      </c>
      <c r="F32" s="581">
        <v>0.59609999999999996</v>
      </c>
      <c r="G32" s="581">
        <v>1.9525999999999999</v>
      </c>
      <c r="H32" s="581">
        <v>2.0169000000000001</v>
      </c>
    </row>
    <row r="33" spans="1:8">
      <c r="A33" s="581">
        <v>27</v>
      </c>
      <c r="B33" s="581" t="s">
        <v>1546</v>
      </c>
      <c r="C33" s="581">
        <v>1.5222</v>
      </c>
      <c r="D33" s="581">
        <v>0.40160000000000001</v>
      </c>
      <c r="E33" s="581">
        <v>6.6870000000000003</v>
      </c>
      <c r="F33" s="581">
        <v>0.96919999999999995</v>
      </c>
      <c r="G33" s="581">
        <v>1.4954000000000001</v>
      </c>
      <c r="H33" s="581">
        <v>1.8688</v>
      </c>
    </row>
    <row r="34" spans="1:8">
      <c r="A34" s="581">
        <v>28</v>
      </c>
      <c r="B34" s="581" t="s">
        <v>1547</v>
      </c>
      <c r="C34" s="581">
        <v>1.5159</v>
      </c>
      <c r="D34" s="581">
        <v>0.40860000000000002</v>
      </c>
      <c r="E34" s="581">
        <v>13.288600000000001</v>
      </c>
      <c r="F34" s="581">
        <v>0.99029999999999996</v>
      </c>
      <c r="G34" s="581">
        <v>1.4012</v>
      </c>
      <c r="H34" s="581">
        <v>1.2951999999999999</v>
      </c>
    </row>
    <row r="35" spans="1:8">
      <c r="A35" s="581">
        <v>29</v>
      </c>
      <c r="B35" s="581" t="s">
        <v>1548</v>
      </c>
      <c r="C35" s="581">
        <v>1.3391999999999999</v>
      </c>
      <c r="D35" s="581">
        <v>0.27579999999999999</v>
      </c>
      <c r="E35" s="581">
        <v>5.4034000000000004</v>
      </c>
      <c r="F35" s="581">
        <v>0.56879999999999997</v>
      </c>
      <c r="G35" s="581">
        <v>1.4474</v>
      </c>
      <c r="H35" s="581">
        <v>1.6808000000000001</v>
      </c>
    </row>
    <row r="36" spans="1:8">
      <c r="A36" s="581">
        <v>30</v>
      </c>
      <c r="B36" s="581" t="s">
        <v>1549</v>
      </c>
      <c r="C36" s="581">
        <v>1</v>
      </c>
      <c r="D36" s="581">
        <v>0</v>
      </c>
      <c r="E36" s="581">
        <v>0</v>
      </c>
      <c r="F36" s="581">
        <v>0</v>
      </c>
      <c r="G36" s="581">
        <v>0</v>
      </c>
      <c r="H36" s="581">
        <v>0</v>
      </c>
    </row>
    <row r="37" spans="1:8">
      <c r="A37" s="581">
        <v>31</v>
      </c>
      <c r="B37" s="581" t="s">
        <v>1550</v>
      </c>
      <c r="C37" s="581">
        <v>1.3519000000000001</v>
      </c>
      <c r="D37" s="581">
        <v>0.24879999999999999</v>
      </c>
      <c r="E37" s="581">
        <v>3.8359999999999999</v>
      </c>
      <c r="F37" s="581">
        <v>0.58760000000000001</v>
      </c>
      <c r="G37" s="581">
        <v>1.5407999999999999</v>
      </c>
      <c r="H37" s="581">
        <v>2.2673000000000001</v>
      </c>
    </row>
    <row r="38" spans="1:8">
      <c r="A38" s="581">
        <v>32</v>
      </c>
      <c r="B38" s="581" t="s">
        <v>1551</v>
      </c>
      <c r="C38" s="581">
        <v>1.4373</v>
      </c>
      <c r="D38" s="581">
        <v>0.3135</v>
      </c>
      <c r="E38" s="581">
        <v>6.9195000000000002</v>
      </c>
      <c r="F38" s="581">
        <v>0.70209999999999995</v>
      </c>
      <c r="G38" s="581">
        <v>1.5445</v>
      </c>
      <c r="H38" s="581">
        <v>1.6571</v>
      </c>
    </row>
    <row r="39" spans="1:8">
      <c r="A39" s="581">
        <v>33</v>
      </c>
      <c r="B39" s="581" t="s">
        <v>1552</v>
      </c>
      <c r="C39" s="581">
        <v>1.6409</v>
      </c>
      <c r="D39" s="581">
        <v>0.67679999999999996</v>
      </c>
      <c r="E39" s="581">
        <v>25.489100000000001</v>
      </c>
      <c r="F39" s="581">
        <v>0.93740000000000001</v>
      </c>
      <c r="G39" s="581">
        <v>1.3081</v>
      </c>
      <c r="H39" s="581">
        <v>1.1895</v>
      </c>
    </row>
    <row r="40" spans="1:8">
      <c r="A40" s="581">
        <v>34</v>
      </c>
      <c r="B40" s="581" t="s">
        <v>1553</v>
      </c>
      <c r="C40" s="581">
        <v>1.6235999999999999</v>
      </c>
      <c r="D40" s="581">
        <v>0.53369999999999995</v>
      </c>
      <c r="E40" s="581">
        <v>7.9756999999999998</v>
      </c>
      <c r="F40" s="581">
        <v>0.86770000000000003</v>
      </c>
      <c r="G40" s="581">
        <v>1.4200999999999999</v>
      </c>
      <c r="H40" s="581">
        <v>1.9462999999999999</v>
      </c>
    </row>
    <row r="41" spans="1:8">
      <c r="A41" s="581">
        <v>35</v>
      </c>
      <c r="B41" s="581" t="s">
        <v>1554</v>
      </c>
      <c r="C41" s="581">
        <v>1.4661999999999999</v>
      </c>
      <c r="D41" s="581">
        <v>0.47960000000000003</v>
      </c>
      <c r="E41" s="581">
        <v>10.4838</v>
      </c>
      <c r="F41" s="581">
        <v>0.96740000000000004</v>
      </c>
      <c r="G41" s="581">
        <v>1.3057000000000001</v>
      </c>
      <c r="H41" s="581">
        <v>1.4068000000000001</v>
      </c>
    </row>
    <row r="42" spans="1:8">
      <c r="A42" s="581">
        <v>36</v>
      </c>
      <c r="B42" s="581" t="s">
        <v>1555</v>
      </c>
      <c r="C42" s="581">
        <v>1.6329</v>
      </c>
      <c r="D42" s="581">
        <v>0.60980000000000001</v>
      </c>
      <c r="E42" s="581">
        <v>14.5587</v>
      </c>
      <c r="F42" s="581">
        <v>1.0871999999999999</v>
      </c>
      <c r="G42" s="581">
        <v>1.3102</v>
      </c>
      <c r="H42" s="581">
        <v>1.3654999999999999</v>
      </c>
    </row>
    <row r="43" spans="1:8">
      <c r="A43" s="581">
        <v>37</v>
      </c>
      <c r="B43" s="581" t="s">
        <v>1556</v>
      </c>
      <c r="C43" s="581">
        <v>1.6515</v>
      </c>
      <c r="D43" s="581">
        <v>0.3856</v>
      </c>
      <c r="E43" s="581">
        <v>6.9455</v>
      </c>
      <c r="F43" s="581">
        <v>0.82410000000000005</v>
      </c>
      <c r="G43" s="581">
        <v>1.7107000000000001</v>
      </c>
      <c r="H43" s="581">
        <v>2.0987</v>
      </c>
    </row>
    <row r="44" spans="1:8">
      <c r="A44" s="581">
        <v>38</v>
      </c>
      <c r="B44" s="581" t="s">
        <v>1557</v>
      </c>
      <c r="C44" s="581">
        <v>1.7536</v>
      </c>
      <c r="D44" s="581">
        <v>0.33629999999999999</v>
      </c>
      <c r="E44" s="581">
        <v>9.0077999999999996</v>
      </c>
      <c r="F44" s="581">
        <v>1.05</v>
      </c>
      <c r="G44" s="581">
        <v>2.0333999999999999</v>
      </c>
      <c r="H44" s="581">
        <v>1.8793</v>
      </c>
    </row>
    <row r="45" spans="1:8">
      <c r="A45" s="581">
        <v>39</v>
      </c>
      <c r="B45" s="581" t="s">
        <v>1558</v>
      </c>
      <c r="C45" s="581">
        <v>1.4988999999999999</v>
      </c>
      <c r="D45" s="581">
        <v>0.34960000000000002</v>
      </c>
      <c r="E45" s="581">
        <v>4.6490999999999998</v>
      </c>
      <c r="F45" s="581">
        <v>0.72729999999999995</v>
      </c>
      <c r="G45" s="581">
        <v>1.4901</v>
      </c>
      <c r="H45" s="581">
        <v>2.2222</v>
      </c>
    </row>
    <row r="46" spans="1:8">
      <c r="A46" s="581">
        <v>40</v>
      </c>
      <c r="B46" s="581" t="s">
        <v>1559</v>
      </c>
      <c r="C46" s="581">
        <v>1.5098</v>
      </c>
      <c r="D46" s="581">
        <v>0.22850000000000001</v>
      </c>
      <c r="E46" s="581">
        <v>3.9216000000000002</v>
      </c>
      <c r="F46" s="581">
        <v>0.85250000000000004</v>
      </c>
      <c r="G46" s="581">
        <v>1.9944999999999999</v>
      </c>
      <c r="H46" s="581">
        <v>2.7092999999999998</v>
      </c>
    </row>
    <row r="47" spans="1:8">
      <c r="A47" s="581">
        <v>41</v>
      </c>
      <c r="B47" s="581" t="s">
        <v>1560</v>
      </c>
      <c r="C47" s="581">
        <v>1.5591999999999999</v>
      </c>
      <c r="D47" s="581">
        <v>0.27850000000000003</v>
      </c>
      <c r="E47" s="581">
        <v>4.907</v>
      </c>
      <c r="F47" s="581">
        <v>0.81540000000000001</v>
      </c>
      <c r="G47" s="581">
        <v>1.9733000000000001</v>
      </c>
      <c r="H47" s="581">
        <v>2.8974000000000002</v>
      </c>
    </row>
    <row r="48" spans="1:8">
      <c r="A48" s="581">
        <v>42</v>
      </c>
      <c r="B48" s="581" t="s">
        <v>1561</v>
      </c>
      <c r="C48" s="581">
        <v>1.5984</v>
      </c>
      <c r="D48" s="581">
        <v>0.33090000000000003</v>
      </c>
      <c r="E48" s="581">
        <v>6.2915999999999999</v>
      </c>
      <c r="F48" s="581">
        <v>0.84760000000000002</v>
      </c>
      <c r="G48" s="581">
        <v>1.8019000000000001</v>
      </c>
      <c r="H48" s="581">
        <v>2.2477999999999998</v>
      </c>
    </row>
    <row r="49" spans="1:8">
      <c r="A49" s="581">
        <v>43</v>
      </c>
      <c r="B49" s="581" t="s">
        <v>1562</v>
      </c>
      <c r="C49" s="581">
        <v>1.6065</v>
      </c>
      <c r="D49" s="581">
        <v>0.40389999999999998</v>
      </c>
      <c r="E49" s="581">
        <v>6.9264000000000001</v>
      </c>
      <c r="F49" s="581">
        <v>0.9022</v>
      </c>
      <c r="G49" s="581">
        <v>1.5809</v>
      </c>
      <c r="H49" s="581">
        <v>1.9813000000000001</v>
      </c>
    </row>
    <row r="50" spans="1:8">
      <c r="A50" s="581">
        <v>44</v>
      </c>
      <c r="B50" s="581" t="s">
        <v>1563</v>
      </c>
      <c r="C50" s="581">
        <v>1.5411999999999999</v>
      </c>
      <c r="D50" s="581">
        <v>0.35170000000000001</v>
      </c>
      <c r="E50" s="581">
        <v>5.7332000000000001</v>
      </c>
      <c r="F50" s="581">
        <v>1.0073000000000001</v>
      </c>
      <c r="G50" s="581">
        <v>1.5650999999999999</v>
      </c>
      <c r="H50" s="581">
        <v>1.9288000000000001</v>
      </c>
    </row>
    <row r="51" spans="1:8">
      <c r="A51" s="581">
        <v>45</v>
      </c>
      <c r="B51" s="581" t="s">
        <v>1564</v>
      </c>
      <c r="C51" s="581">
        <v>1</v>
      </c>
      <c r="D51" s="581">
        <v>0</v>
      </c>
      <c r="E51" s="581">
        <v>0</v>
      </c>
      <c r="F51" s="581">
        <v>0</v>
      </c>
      <c r="G51" s="581">
        <v>0</v>
      </c>
      <c r="H51" s="581">
        <v>0</v>
      </c>
    </row>
    <row r="52" spans="1:8">
      <c r="A52" s="581">
        <v>46</v>
      </c>
      <c r="B52" s="581" t="s">
        <v>1565</v>
      </c>
      <c r="C52" s="581">
        <v>1.3142</v>
      </c>
      <c r="D52" s="581">
        <v>0.10680000000000001</v>
      </c>
      <c r="E52" s="581">
        <v>5.4507000000000003</v>
      </c>
      <c r="F52" s="581">
        <v>0.88290000000000002</v>
      </c>
      <c r="G52" s="581">
        <v>2.4868999999999999</v>
      </c>
      <c r="H52" s="581">
        <v>1.43</v>
      </c>
    </row>
    <row r="53" spans="1:8">
      <c r="A53" s="581">
        <v>47</v>
      </c>
      <c r="B53" s="581" t="s">
        <v>1566</v>
      </c>
      <c r="C53" s="581">
        <v>1.5251999999999999</v>
      </c>
      <c r="D53" s="581">
        <v>0.31830000000000003</v>
      </c>
      <c r="E53" s="581">
        <v>5.7545000000000002</v>
      </c>
      <c r="F53" s="581">
        <v>0.96950000000000003</v>
      </c>
      <c r="G53" s="581">
        <v>1.6806000000000001</v>
      </c>
      <c r="H53" s="581">
        <v>2.0078999999999998</v>
      </c>
    </row>
    <row r="54" spans="1:8">
      <c r="A54" s="581">
        <v>48</v>
      </c>
      <c r="B54" s="581" t="s">
        <v>1567</v>
      </c>
      <c r="C54" s="581">
        <v>1.6961999999999999</v>
      </c>
      <c r="D54" s="581">
        <v>0.60799999999999998</v>
      </c>
      <c r="E54" s="581">
        <v>10.604699999999999</v>
      </c>
      <c r="F54" s="581">
        <v>1.103</v>
      </c>
      <c r="G54" s="581">
        <v>1.3969</v>
      </c>
      <c r="H54" s="581">
        <v>1.7057</v>
      </c>
    </row>
    <row r="55" spans="1:8">
      <c r="A55" s="581">
        <v>49</v>
      </c>
      <c r="B55" s="581" t="s">
        <v>1568</v>
      </c>
      <c r="C55" s="581">
        <v>1.6926000000000001</v>
      </c>
      <c r="D55" s="581">
        <v>0.62870000000000004</v>
      </c>
      <c r="E55" s="581">
        <v>8.0180000000000007</v>
      </c>
      <c r="F55" s="581">
        <v>1.0738000000000001</v>
      </c>
      <c r="G55" s="581">
        <v>1.375</v>
      </c>
      <c r="H55" s="581">
        <v>2.1181000000000001</v>
      </c>
    </row>
    <row r="56" spans="1:8">
      <c r="A56" s="581">
        <v>50</v>
      </c>
      <c r="B56" s="581" t="s">
        <v>1569</v>
      </c>
      <c r="C56" s="581">
        <v>1.5178</v>
      </c>
      <c r="D56" s="581">
        <v>0.4148</v>
      </c>
      <c r="E56" s="581">
        <v>14.082599999999999</v>
      </c>
      <c r="F56" s="581">
        <v>0.95730000000000004</v>
      </c>
      <c r="G56" s="581">
        <v>1.4421999999999999</v>
      </c>
      <c r="H56" s="581">
        <v>1.2988999999999999</v>
      </c>
    </row>
    <row r="57" spans="1:8">
      <c r="A57" s="581">
        <v>51</v>
      </c>
      <c r="B57" s="581" t="s">
        <v>1570</v>
      </c>
      <c r="C57" s="581">
        <v>1.6338999999999999</v>
      </c>
      <c r="D57" s="581">
        <v>0.41949999999999998</v>
      </c>
      <c r="E57" s="581">
        <v>8.1648999999999994</v>
      </c>
      <c r="F57" s="581">
        <v>0.89649999999999996</v>
      </c>
      <c r="G57" s="581">
        <v>1.6273</v>
      </c>
      <c r="H57" s="581">
        <v>1.8492</v>
      </c>
    </row>
    <row r="58" spans="1:8">
      <c r="A58" s="581">
        <v>52</v>
      </c>
      <c r="B58" s="581" t="s">
        <v>1571</v>
      </c>
      <c r="C58" s="581">
        <v>1.6756</v>
      </c>
      <c r="D58" s="581">
        <v>0.63749999999999996</v>
      </c>
      <c r="E58" s="581">
        <v>21.079599999999999</v>
      </c>
      <c r="F58" s="581">
        <v>1.0679000000000001</v>
      </c>
      <c r="G58" s="581">
        <v>1.31</v>
      </c>
      <c r="H58" s="581">
        <v>1.2459</v>
      </c>
    </row>
    <row r="59" spans="1:8">
      <c r="A59" s="581">
        <v>53</v>
      </c>
      <c r="B59" s="581" t="s">
        <v>1572</v>
      </c>
      <c r="C59" s="581">
        <v>1.6657</v>
      </c>
      <c r="D59" s="581">
        <v>0.5796</v>
      </c>
      <c r="E59" s="581">
        <v>11.2311</v>
      </c>
      <c r="F59" s="581">
        <v>1.0444</v>
      </c>
      <c r="G59" s="581">
        <v>1.3904000000000001</v>
      </c>
      <c r="H59" s="581">
        <v>1.5828</v>
      </c>
    </row>
    <row r="60" spans="1:8">
      <c r="A60" s="581">
        <v>54</v>
      </c>
      <c r="B60" s="581" t="s">
        <v>1573</v>
      </c>
      <c r="C60" s="581">
        <v>1.6638999999999999</v>
      </c>
      <c r="D60" s="581">
        <v>0.4325</v>
      </c>
      <c r="E60" s="581">
        <v>8.9579000000000004</v>
      </c>
      <c r="F60" s="581">
        <v>0.95</v>
      </c>
      <c r="G60" s="581">
        <v>1.5184</v>
      </c>
      <c r="H60" s="581">
        <v>1.7318</v>
      </c>
    </row>
    <row r="61" spans="1:8">
      <c r="A61" s="581">
        <v>55</v>
      </c>
      <c r="B61" s="581" t="s">
        <v>1574</v>
      </c>
      <c r="C61" s="581">
        <v>1.5548999999999999</v>
      </c>
      <c r="D61" s="581">
        <v>0.45600000000000002</v>
      </c>
      <c r="E61" s="581">
        <v>13.456200000000001</v>
      </c>
      <c r="F61" s="581">
        <v>1.016</v>
      </c>
      <c r="G61" s="581">
        <v>1.3918999999999999</v>
      </c>
      <c r="H61" s="581">
        <v>1.3328</v>
      </c>
    </row>
    <row r="62" spans="1:8">
      <c r="A62" s="581">
        <v>56</v>
      </c>
      <c r="B62" s="581" t="s">
        <v>1575</v>
      </c>
      <c r="C62" s="581">
        <v>1.609</v>
      </c>
      <c r="D62" s="581">
        <v>0.51060000000000005</v>
      </c>
      <c r="E62" s="581">
        <v>20.7042</v>
      </c>
      <c r="F62" s="581">
        <v>1.0147999999999999</v>
      </c>
      <c r="G62" s="581">
        <v>1.3697999999999999</v>
      </c>
      <c r="H62" s="581">
        <v>1.2174</v>
      </c>
    </row>
    <row r="63" spans="1:8">
      <c r="A63" s="581">
        <v>57</v>
      </c>
      <c r="B63" s="581" t="s">
        <v>1576</v>
      </c>
      <c r="C63" s="581">
        <v>1.6342000000000001</v>
      </c>
      <c r="D63" s="581">
        <v>0.33950000000000002</v>
      </c>
      <c r="E63" s="581">
        <v>10.943099999999999</v>
      </c>
      <c r="F63" s="581">
        <v>0.99880000000000002</v>
      </c>
      <c r="G63" s="581">
        <v>1.6737</v>
      </c>
      <c r="H63" s="581">
        <v>1.4962</v>
      </c>
    </row>
    <row r="64" spans="1:8">
      <c r="A64" s="581">
        <v>58</v>
      </c>
      <c r="B64" s="581" t="s">
        <v>1577</v>
      </c>
      <c r="C64" s="581">
        <v>1.5308999999999999</v>
      </c>
      <c r="D64" s="581">
        <v>0.41249999999999998</v>
      </c>
      <c r="E64" s="581">
        <v>18.421399999999998</v>
      </c>
      <c r="F64" s="581">
        <v>0.98150000000000004</v>
      </c>
      <c r="G64" s="581">
        <v>1.4160999999999999</v>
      </c>
      <c r="H64" s="581">
        <v>1.2038</v>
      </c>
    </row>
    <row r="65" spans="1:8">
      <c r="A65" s="581">
        <v>59</v>
      </c>
      <c r="B65" s="581" t="s">
        <v>1578</v>
      </c>
      <c r="C65" s="581">
        <v>1.6633</v>
      </c>
      <c r="D65" s="581">
        <v>0.41620000000000001</v>
      </c>
      <c r="E65" s="581">
        <v>10.8078</v>
      </c>
      <c r="F65" s="581">
        <v>0.95279999999999998</v>
      </c>
      <c r="G65" s="581">
        <v>1.6579999999999999</v>
      </c>
      <c r="H65" s="581">
        <v>1.5899000000000001</v>
      </c>
    </row>
    <row r="66" spans="1:8">
      <c r="A66" s="581">
        <v>60</v>
      </c>
      <c r="B66" s="581" t="s">
        <v>1579</v>
      </c>
      <c r="C66" s="581">
        <v>1.5323</v>
      </c>
      <c r="D66" s="581">
        <v>0.36849999999999999</v>
      </c>
      <c r="E66" s="581">
        <v>16.204699999999999</v>
      </c>
      <c r="F66" s="581">
        <v>0.86599999999999999</v>
      </c>
      <c r="G66" s="581">
        <v>1.5092000000000001</v>
      </c>
      <c r="H66" s="581">
        <v>1.2292000000000001</v>
      </c>
    </row>
    <row r="67" spans="1:8">
      <c r="A67" s="581">
        <v>61</v>
      </c>
      <c r="B67" s="581" t="s">
        <v>1580</v>
      </c>
      <c r="C67" s="581">
        <v>1.6721999999999999</v>
      </c>
      <c r="D67" s="581">
        <v>0.5272</v>
      </c>
      <c r="E67" s="581">
        <v>13.4855</v>
      </c>
      <c r="F67" s="581">
        <v>0.97</v>
      </c>
      <c r="G67" s="581">
        <v>1.4216</v>
      </c>
      <c r="H67" s="581">
        <v>1.4339999999999999</v>
      </c>
    </row>
    <row r="68" spans="1:8">
      <c r="A68" s="581">
        <v>62</v>
      </c>
      <c r="B68" s="581" t="s">
        <v>1581</v>
      </c>
      <c r="C68" s="581">
        <v>0.84230000000000005</v>
      </c>
      <c r="D68" s="581">
        <v>0.19980000000000001</v>
      </c>
      <c r="E68" s="581">
        <v>5.6547999999999998</v>
      </c>
      <c r="F68" s="581">
        <v>0.52200000000000002</v>
      </c>
      <c r="G68" s="581">
        <v>0</v>
      </c>
      <c r="H68" s="581">
        <v>0</v>
      </c>
    </row>
    <row r="70" spans="1:8">
      <c r="C70" s="581">
        <f>SUM(C6:C68)</f>
        <v>91.161299999999997</v>
      </c>
      <c r="D70" s="581">
        <f t="shared" ref="D70:H70" si="0">SUM(D6:D68)</f>
        <v>20.558600000000002</v>
      </c>
      <c r="E70" s="581">
        <f t="shared" si="0"/>
        <v>499.22420000000005</v>
      </c>
      <c r="F70" s="581">
        <f t="shared" si="0"/>
        <v>45.891400000000004</v>
      </c>
      <c r="G70" s="581">
        <f t="shared" si="0"/>
        <v>92.117100000000036</v>
      </c>
      <c r="H70" s="581">
        <f t="shared" si="0"/>
        <v>102.29660000000003</v>
      </c>
    </row>
    <row r="71" spans="1:8">
      <c r="C71" s="581">
        <f>C70-SUM(sussex!B2:B63)</f>
        <v>3.5813999999999595</v>
      </c>
      <c r="D71" s="581">
        <f>D70-SUM(sussex!C2:C63)</f>
        <v>0.54609999999999204</v>
      </c>
      <c r="E71" s="581">
        <f>E70-SUM(sussex!D2:D63)</f>
        <v>13.617300000000114</v>
      </c>
      <c r="F71" s="581">
        <f>F70-SUM(sussex!E2:E63)</f>
        <v>0.35620000000000829</v>
      </c>
      <c r="G71" s="581">
        <f>G70-SUM(sussex!F2:F63)</f>
        <v>7.1979000000000326</v>
      </c>
      <c r="H71" s="581">
        <f>H70-SUM(sussex!G2:G63)</f>
        <v>12.201700000000017</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H71"/>
  <sheetViews>
    <sheetView topLeftCell="A43" workbookViewId="0">
      <selection activeCell="K69" sqref="K69"/>
    </sheetView>
  </sheetViews>
  <sheetFormatPr defaultColWidth="9.109375" defaultRowHeight="14.4"/>
  <cols>
    <col min="1" max="16384" width="9.109375" style="581"/>
  </cols>
  <sheetData>
    <row r="1" spans="1:8">
      <c r="A1" s="581" t="s">
        <v>1513</v>
      </c>
    </row>
    <row r="2" spans="1:8">
      <c r="A2" s="581" t="s">
        <v>1596</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1.4107000000000001</v>
      </c>
      <c r="D7" s="581">
        <v>0.31509999999999999</v>
      </c>
      <c r="E7" s="581">
        <v>13.7182</v>
      </c>
      <c r="F7" s="581">
        <v>0.62529999999999997</v>
      </c>
      <c r="G7" s="581">
        <v>1.3285</v>
      </c>
      <c r="H7" s="581">
        <v>1.2137</v>
      </c>
    </row>
    <row r="8" spans="1:8">
      <c r="A8" s="581">
        <v>2</v>
      </c>
      <c r="B8" s="581" t="s">
        <v>1521</v>
      </c>
      <c r="C8" s="581">
        <v>1.4755</v>
      </c>
      <c r="D8" s="581">
        <v>0.70630000000000004</v>
      </c>
      <c r="E8" s="581">
        <v>31.743400000000001</v>
      </c>
      <c r="F8" s="581">
        <v>0.95199999999999996</v>
      </c>
      <c r="G8" s="581">
        <v>1.1373</v>
      </c>
      <c r="H8" s="581">
        <v>1.0813999999999999</v>
      </c>
    </row>
    <row r="9" spans="1:8">
      <c r="A9" s="581">
        <v>3</v>
      </c>
      <c r="B9" s="581" t="s">
        <v>1522</v>
      </c>
      <c r="C9" s="581">
        <v>1</v>
      </c>
      <c r="D9" s="581">
        <v>0</v>
      </c>
      <c r="E9" s="581">
        <v>0</v>
      </c>
      <c r="F9" s="581">
        <v>0</v>
      </c>
      <c r="G9" s="581">
        <v>0</v>
      </c>
      <c r="H9" s="581">
        <v>0</v>
      </c>
    </row>
    <row r="10" spans="1:8">
      <c r="A10" s="581">
        <v>4</v>
      </c>
      <c r="B10" s="581" t="s">
        <v>1523</v>
      </c>
      <c r="C10" s="581">
        <v>1.4402999999999999</v>
      </c>
      <c r="D10" s="581">
        <v>0.1779</v>
      </c>
      <c r="E10" s="581">
        <v>3.0398999999999998</v>
      </c>
      <c r="F10" s="581">
        <v>0.75629999999999997</v>
      </c>
      <c r="G10" s="581">
        <v>1.6154999999999999</v>
      </c>
      <c r="H10" s="581">
        <v>1.8178000000000001</v>
      </c>
    </row>
    <row r="11" spans="1:8">
      <c r="A11" s="581">
        <v>5</v>
      </c>
      <c r="B11" s="581" t="s">
        <v>1524</v>
      </c>
      <c r="C11" s="581">
        <v>1.4056</v>
      </c>
      <c r="D11" s="581">
        <v>0.18310000000000001</v>
      </c>
      <c r="E11" s="581">
        <v>3.7751000000000001</v>
      </c>
      <c r="F11" s="581">
        <v>0.5504</v>
      </c>
      <c r="G11" s="581">
        <v>1.6509</v>
      </c>
      <c r="H11" s="581">
        <v>1.6245000000000001</v>
      </c>
    </row>
    <row r="12" spans="1:8">
      <c r="A12" s="581">
        <v>6</v>
      </c>
      <c r="B12" s="581" t="s">
        <v>1525</v>
      </c>
      <c r="C12" s="581">
        <v>1.1323000000000001</v>
      </c>
      <c r="D12" s="581">
        <v>0.12139999999999999</v>
      </c>
      <c r="E12" s="581">
        <v>1.5295000000000001</v>
      </c>
      <c r="F12" s="581">
        <v>0.65310000000000001</v>
      </c>
      <c r="G12" s="581">
        <v>1.2567999999999999</v>
      </c>
      <c r="H12" s="581">
        <v>1.6973</v>
      </c>
    </row>
    <row r="13" spans="1:8">
      <c r="A13" s="581">
        <v>7</v>
      </c>
      <c r="B13" s="581" t="s">
        <v>1526</v>
      </c>
      <c r="C13" s="581">
        <v>1.4449000000000001</v>
      </c>
      <c r="D13" s="581">
        <v>0.29699999999999999</v>
      </c>
      <c r="E13" s="581">
        <v>6.1188000000000002</v>
      </c>
      <c r="F13" s="581">
        <v>0.75309999999999999</v>
      </c>
      <c r="G13" s="581">
        <v>1.3674999999999999</v>
      </c>
      <c r="H13" s="581">
        <v>1.4755</v>
      </c>
    </row>
    <row r="14" spans="1:8">
      <c r="A14" s="581">
        <v>8</v>
      </c>
      <c r="B14" s="581" t="s">
        <v>1527</v>
      </c>
      <c r="C14" s="581">
        <v>1.3559000000000001</v>
      </c>
      <c r="D14" s="581">
        <v>0.18770000000000001</v>
      </c>
      <c r="E14" s="581">
        <v>4.6132</v>
      </c>
      <c r="F14" s="581">
        <v>0.46850000000000003</v>
      </c>
      <c r="G14" s="581">
        <v>1.4804999999999999</v>
      </c>
      <c r="H14" s="581">
        <v>1.4272</v>
      </c>
    </row>
    <row r="15" spans="1:8">
      <c r="A15" s="581">
        <v>9</v>
      </c>
      <c r="B15" s="581" t="s">
        <v>1528</v>
      </c>
      <c r="C15" s="581">
        <v>1.4060999999999999</v>
      </c>
      <c r="D15" s="581">
        <v>0.1368</v>
      </c>
      <c r="E15" s="581">
        <v>2.7622</v>
      </c>
      <c r="F15" s="581">
        <v>0.59299999999999997</v>
      </c>
      <c r="G15" s="581">
        <v>1.9196</v>
      </c>
      <c r="H15" s="581">
        <v>2.0754999999999999</v>
      </c>
    </row>
    <row r="16" spans="1:8">
      <c r="A16" s="581">
        <v>10</v>
      </c>
      <c r="B16" s="581" t="s">
        <v>1529</v>
      </c>
      <c r="C16" s="581">
        <v>1.3409</v>
      </c>
      <c r="D16" s="581">
        <v>9.69E-2</v>
      </c>
      <c r="E16" s="581">
        <v>1.8364</v>
      </c>
      <c r="F16" s="581">
        <v>0.41720000000000002</v>
      </c>
      <c r="G16" s="581">
        <v>2.2124999999999999</v>
      </c>
      <c r="H16" s="581">
        <v>2.5565000000000002</v>
      </c>
    </row>
    <row r="17" spans="1:8">
      <c r="A17" s="581">
        <v>11</v>
      </c>
      <c r="B17" s="581" t="s">
        <v>1530</v>
      </c>
      <c r="C17" s="581">
        <v>1.3543000000000001</v>
      </c>
      <c r="D17" s="581">
        <v>0.15260000000000001</v>
      </c>
      <c r="E17" s="581">
        <v>3.0859000000000001</v>
      </c>
      <c r="F17" s="581">
        <v>0.58360000000000001</v>
      </c>
      <c r="G17" s="581">
        <v>1.5311999999999999</v>
      </c>
      <c r="H17" s="581">
        <v>1.6202000000000001</v>
      </c>
    </row>
    <row r="18" spans="1:8">
      <c r="A18" s="581">
        <v>12</v>
      </c>
      <c r="B18" s="581" t="s">
        <v>1531</v>
      </c>
      <c r="C18" s="581">
        <v>1.3354999999999999</v>
      </c>
      <c r="D18" s="581">
        <v>0.1012</v>
      </c>
      <c r="E18" s="581">
        <v>1.8281000000000001</v>
      </c>
      <c r="F18" s="581">
        <v>0.51800000000000002</v>
      </c>
      <c r="G18" s="581">
        <v>1.8556999999999999</v>
      </c>
      <c r="H18" s="581">
        <v>2.1265999999999998</v>
      </c>
    </row>
    <row r="19" spans="1:8">
      <c r="A19" s="581">
        <v>13</v>
      </c>
      <c r="B19" s="581" t="s">
        <v>1532</v>
      </c>
      <c r="C19" s="581">
        <v>1.3818999999999999</v>
      </c>
      <c r="D19" s="581">
        <v>0.25369999999999998</v>
      </c>
      <c r="E19" s="581">
        <v>3.7467000000000001</v>
      </c>
      <c r="F19" s="581">
        <v>0.71460000000000001</v>
      </c>
      <c r="G19" s="581">
        <v>1.3542000000000001</v>
      </c>
      <c r="H19" s="581">
        <v>1.6083000000000001</v>
      </c>
    </row>
    <row r="20" spans="1:8">
      <c r="A20" s="581">
        <v>14</v>
      </c>
      <c r="B20" s="581" t="s">
        <v>1533</v>
      </c>
      <c r="C20" s="581">
        <v>1.2659</v>
      </c>
      <c r="D20" s="581">
        <v>0.1459</v>
      </c>
      <c r="E20" s="581">
        <v>2.7738</v>
      </c>
      <c r="F20" s="581">
        <v>0.56730000000000003</v>
      </c>
      <c r="G20" s="581">
        <v>1.3874</v>
      </c>
      <c r="H20" s="581">
        <v>1.4827999999999999</v>
      </c>
    </row>
    <row r="21" spans="1:8">
      <c r="A21" s="581">
        <v>15</v>
      </c>
      <c r="B21" s="581" t="s">
        <v>1534</v>
      </c>
      <c r="C21" s="581">
        <v>1.3366</v>
      </c>
      <c r="D21" s="581">
        <v>0.1166</v>
      </c>
      <c r="E21" s="581">
        <v>2.1833999999999998</v>
      </c>
      <c r="F21" s="581">
        <v>0.3957</v>
      </c>
      <c r="G21" s="581">
        <v>1.8372999999999999</v>
      </c>
      <c r="H21" s="581">
        <v>2.0514999999999999</v>
      </c>
    </row>
    <row r="22" spans="1:8">
      <c r="A22" s="581">
        <v>16</v>
      </c>
      <c r="B22" s="581" t="s">
        <v>1535</v>
      </c>
      <c r="C22" s="581">
        <v>1</v>
      </c>
      <c r="D22" s="581">
        <v>0</v>
      </c>
      <c r="E22" s="581">
        <v>0</v>
      </c>
      <c r="F22" s="581">
        <v>0</v>
      </c>
      <c r="G22" s="581">
        <v>0</v>
      </c>
      <c r="H22" s="581">
        <v>0</v>
      </c>
    </row>
    <row r="23" spans="1:8">
      <c r="A23" s="581">
        <v>17</v>
      </c>
      <c r="B23" s="581" t="s">
        <v>1536</v>
      </c>
      <c r="C23" s="581">
        <v>1.4734</v>
      </c>
      <c r="D23" s="581">
        <v>0.36480000000000001</v>
      </c>
      <c r="E23" s="581">
        <v>8.5269999999999992</v>
      </c>
      <c r="F23" s="581">
        <v>0.67169999999999996</v>
      </c>
      <c r="G23" s="581">
        <v>1.3003</v>
      </c>
      <c r="H23" s="581">
        <v>1.3317000000000001</v>
      </c>
    </row>
    <row r="24" spans="1:8">
      <c r="A24" s="581">
        <v>18</v>
      </c>
      <c r="B24" s="581" t="s">
        <v>1537</v>
      </c>
      <c r="C24" s="581">
        <v>1.33</v>
      </c>
      <c r="D24" s="581">
        <v>0.12429999999999999</v>
      </c>
      <c r="E24" s="581">
        <v>2.2383000000000002</v>
      </c>
      <c r="F24" s="581">
        <v>0.69140000000000001</v>
      </c>
      <c r="G24" s="581">
        <v>1.6091</v>
      </c>
      <c r="H24" s="581">
        <v>1.8310999999999999</v>
      </c>
    </row>
    <row r="25" spans="1:8">
      <c r="A25" s="581">
        <v>19</v>
      </c>
      <c r="B25" s="581" t="s">
        <v>1538</v>
      </c>
      <c r="C25" s="581">
        <v>1.2755000000000001</v>
      </c>
      <c r="D25" s="581">
        <v>8.77E-2</v>
      </c>
      <c r="E25" s="581">
        <v>1.9911000000000001</v>
      </c>
      <c r="F25" s="581">
        <v>0.39500000000000002</v>
      </c>
      <c r="G25" s="581">
        <v>1.899</v>
      </c>
      <c r="H25" s="581">
        <v>1.9734</v>
      </c>
    </row>
    <row r="26" spans="1:8">
      <c r="A26" s="581">
        <v>20</v>
      </c>
      <c r="B26" s="581" t="s">
        <v>1539</v>
      </c>
      <c r="C26" s="581">
        <v>1.2895000000000001</v>
      </c>
      <c r="D26" s="581">
        <v>0.2281</v>
      </c>
      <c r="E26" s="581">
        <v>5.4606000000000003</v>
      </c>
      <c r="F26" s="581">
        <v>0.4582</v>
      </c>
      <c r="G26" s="581">
        <v>1.2906</v>
      </c>
      <c r="H26" s="581">
        <v>1.2914000000000001</v>
      </c>
    </row>
    <row r="27" spans="1:8">
      <c r="A27" s="581">
        <v>21</v>
      </c>
      <c r="B27" s="581" t="s">
        <v>1540</v>
      </c>
      <c r="C27" s="581">
        <v>1.2445999999999999</v>
      </c>
      <c r="D27" s="581">
        <v>0.18579999999999999</v>
      </c>
      <c r="E27" s="581">
        <v>4.8117000000000001</v>
      </c>
      <c r="F27" s="581">
        <v>0.56079999999999997</v>
      </c>
      <c r="G27" s="581">
        <v>1.3344</v>
      </c>
      <c r="H27" s="581">
        <v>1.2905</v>
      </c>
    </row>
    <row r="28" spans="1:8">
      <c r="A28" s="581">
        <v>22</v>
      </c>
      <c r="B28" s="581" t="s">
        <v>1541</v>
      </c>
      <c r="C28" s="581">
        <v>1.2465999999999999</v>
      </c>
      <c r="D28" s="581">
        <v>0.1186</v>
      </c>
      <c r="E28" s="581">
        <v>2.1278999999999999</v>
      </c>
      <c r="F28" s="581">
        <v>0.49680000000000002</v>
      </c>
      <c r="G28" s="581">
        <v>1.5597000000000001</v>
      </c>
      <c r="H28" s="581">
        <v>1.7774000000000001</v>
      </c>
    </row>
    <row r="29" spans="1:8">
      <c r="A29" s="581">
        <v>23</v>
      </c>
      <c r="B29" s="581" t="s">
        <v>1542</v>
      </c>
      <c r="C29" s="581">
        <v>1.3842000000000001</v>
      </c>
      <c r="D29" s="581">
        <v>0.24729999999999999</v>
      </c>
      <c r="E29" s="581">
        <v>5.1474000000000002</v>
      </c>
      <c r="F29" s="581">
        <v>0.5877</v>
      </c>
      <c r="G29" s="581">
        <v>1.3846000000000001</v>
      </c>
      <c r="H29" s="581">
        <v>1.4661</v>
      </c>
    </row>
    <row r="30" spans="1:8">
      <c r="A30" s="581">
        <v>24</v>
      </c>
      <c r="B30" s="581" t="s">
        <v>1543</v>
      </c>
      <c r="C30" s="581">
        <v>1.1069</v>
      </c>
      <c r="D30" s="581">
        <v>0.13</v>
      </c>
      <c r="E30" s="581">
        <v>1.6497999999999999</v>
      </c>
      <c r="F30" s="581">
        <v>0.2702</v>
      </c>
      <c r="G30" s="581">
        <v>1.1725000000000001</v>
      </c>
      <c r="H30" s="581">
        <v>1.4142999999999999</v>
      </c>
    </row>
    <row r="31" spans="1:8">
      <c r="A31" s="581">
        <v>25</v>
      </c>
      <c r="B31" s="581" t="s">
        <v>1544</v>
      </c>
      <c r="C31" s="581">
        <v>1.3081</v>
      </c>
      <c r="D31" s="581">
        <v>0.1051</v>
      </c>
      <c r="E31" s="581">
        <v>1.4986999999999999</v>
      </c>
      <c r="F31" s="581">
        <v>0.4929</v>
      </c>
      <c r="G31" s="581">
        <v>1.754</v>
      </c>
      <c r="H31" s="581">
        <v>2.6476000000000002</v>
      </c>
    </row>
    <row r="32" spans="1:8">
      <c r="A32" s="581">
        <v>26</v>
      </c>
      <c r="B32" s="581" t="s">
        <v>1545</v>
      </c>
      <c r="C32" s="581">
        <v>1.2254</v>
      </c>
      <c r="D32" s="581">
        <v>7.9100000000000004E-2</v>
      </c>
      <c r="E32" s="581">
        <v>1.603</v>
      </c>
      <c r="F32" s="581">
        <v>0.4446</v>
      </c>
      <c r="G32" s="581">
        <v>1.7410000000000001</v>
      </c>
      <c r="H32" s="581">
        <v>1.7874000000000001</v>
      </c>
    </row>
    <row r="33" spans="1:8">
      <c r="A33" s="581">
        <v>27</v>
      </c>
      <c r="B33" s="581" t="s">
        <v>1546</v>
      </c>
      <c r="C33" s="581">
        <v>1.3033999999999999</v>
      </c>
      <c r="D33" s="581">
        <v>0.26669999999999999</v>
      </c>
      <c r="E33" s="581">
        <v>4.2062999999999997</v>
      </c>
      <c r="F33" s="581">
        <v>0.83020000000000005</v>
      </c>
      <c r="G33" s="581">
        <v>1.2645</v>
      </c>
      <c r="H33" s="581">
        <v>1.4972000000000001</v>
      </c>
    </row>
    <row r="34" spans="1:8">
      <c r="A34" s="581">
        <v>28</v>
      </c>
      <c r="B34" s="581" t="s">
        <v>1547</v>
      </c>
      <c r="C34" s="581">
        <v>1.3059000000000001</v>
      </c>
      <c r="D34" s="581">
        <v>0.28089999999999998</v>
      </c>
      <c r="E34" s="581">
        <v>9.3932000000000002</v>
      </c>
      <c r="F34" s="581">
        <v>0.85599999999999998</v>
      </c>
      <c r="G34" s="581">
        <v>1.2355</v>
      </c>
      <c r="H34" s="581">
        <v>1.1741999999999999</v>
      </c>
    </row>
    <row r="35" spans="1:8">
      <c r="A35" s="581">
        <v>29</v>
      </c>
      <c r="B35" s="581" t="s">
        <v>1548</v>
      </c>
      <c r="C35" s="581">
        <v>1.2861</v>
      </c>
      <c r="D35" s="581">
        <v>0.2472</v>
      </c>
      <c r="E35" s="581">
        <v>4.6989000000000001</v>
      </c>
      <c r="F35" s="581">
        <v>0.52910000000000001</v>
      </c>
      <c r="G35" s="581">
        <v>1.2977000000000001</v>
      </c>
      <c r="H35" s="581">
        <v>1.4616</v>
      </c>
    </row>
    <row r="36" spans="1:8">
      <c r="A36" s="581">
        <v>30</v>
      </c>
      <c r="B36" s="581" t="s">
        <v>1549</v>
      </c>
      <c r="C36" s="581">
        <v>1.4138999999999999</v>
      </c>
      <c r="D36" s="581">
        <v>0.2702</v>
      </c>
      <c r="E36" s="581">
        <v>4.4480000000000004</v>
      </c>
      <c r="F36" s="581">
        <v>0.64639999999999997</v>
      </c>
      <c r="G36" s="581">
        <v>1.4214</v>
      </c>
      <c r="H36" s="581">
        <v>1.7232000000000001</v>
      </c>
    </row>
    <row r="37" spans="1:8">
      <c r="A37" s="581">
        <v>31</v>
      </c>
      <c r="B37" s="581" t="s">
        <v>1550</v>
      </c>
      <c r="C37" s="581">
        <v>1.2694000000000001</v>
      </c>
      <c r="D37" s="581">
        <v>0.21560000000000001</v>
      </c>
      <c r="E37" s="581">
        <v>3.0243000000000002</v>
      </c>
      <c r="F37" s="581">
        <v>0.52980000000000005</v>
      </c>
      <c r="G37" s="581">
        <v>1.3354999999999999</v>
      </c>
      <c r="H37" s="581">
        <v>1.7875000000000001</v>
      </c>
    </row>
    <row r="38" spans="1:8">
      <c r="A38" s="581">
        <v>32</v>
      </c>
      <c r="B38" s="581" t="s">
        <v>1551</v>
      </c>
      <c r="C38" s="581">
        <v>1.3533999999999999</v>
      </c>
      <c r="D38" s="581">
        <v>0.24360000000000001</v>
      </c>
      <c r="E38" s="581">
        <v>5.3498000000000001</v>
      </c>
      <c r="F38" s="581">
        <v>0.63859999999999995</v>
      </c>
      <c r="G38" s="581">
        <v>1.3952</v>
      </c>
      <c r="H38" s="581">
        <v>1.4893000000000001</v>
      </c>
    </row>
    <row r="39" spans="1:8">
      <c r="A39" s="581">
        <v>33</v>
      </c>
      <c r="B39" s="581" t="s">
        <v>1552</v>
      </c>
      <c r="C39" s="581">
        <v>1.4862</v>
      </c>
      <c r="D39" s="581">
        <v>0.58930000000000005</v>
      </c>
      <c r="E39" s="581">
        <v>23.101800000000001</v>
      </c>
      <c r="F39" s="581">
        <v>0.83440000000000003</v>
      </c>
      <c r="G39" s="581">
        <v>1.1736</v>
      </c>
      <c r="H39" s="581">
        <v>1.1109</v>
      </c>
    </row>
    <row r="40" spans="1:8">
      <c r="A40" s="581">
        <v>34</v>
      </c>
      <c r="B40" s="581" t="s">
        <v>1553</v>
      </c>
      <c r="C40" s="581">
        <v>1</v>
      </c>
      <c r="D40" s="581">
        <v>0</v>
      </c>
      <c r="E40" s="581">
        <v>0</v>
      </c>
      <c r="F40" s="581">
        <v>0</v>
      </c>
      <c r="G40" s="581">
        <v>0</v>
      </c>
      <c r="H40" s="581">
        <v>0</v>
      </c>
    </row>
    <row r="41" spans="1:8">
      <c r="A41" s="581">
        <v>35</v>
      </c>
      <c r="B41" s="581" t="s">
        <v>1554</v>
      </c>
      <c r="C41" s="581">
        <v>1.3684000000000001</v>
      </c>
      <c r="D41" s="581">
        <v>0.44059999999999999</v>
      </c>
      <c r="E41" s="581">
        <v>9.4514999999999993</v>
      </c>
      <c r="F41" s="581">
        <v>0.90180000000000005</v>
      </c>
      <c r="G41" s="581">
        <v>1.1826000000000001</v>
      </c>
      <c r="H41" s="581">
        <v>1.2502</v>
      </c>
    </row>
    <row r="42" spans="1:8">
      <c r="A42" s="581">
        <v>36</v>
      </c>
      <c r="B42" s="581" t="s">
        <v>1555</v>
      </c>
      <c r="C42" s="581">
        <v>1.2475000000000001</v>
      </c>
      <c r="D42" s="581">
        <v>0.14219999999999999</v>
      </c>
      <c r="E42" s="581">
        <v>3.3391000000000002</v>
      </c>
      <c r="F42" s="581">
        <v>0.84540000000000004</v>
      </c>
      <c r="G42" s="581">
        <v>1.4029</v>
      </c>
      <c r="H42" s="581">
        <v>1.4380999999999999</v>
      </c>
    </row>
    <row r="43" spans="1:8">
      <c r="A43" s="581">
        <v>37</v>
      </c>
      <c r="B43" s="581" t="s">
        <v>1556</v>
      </c>
      <c r="C43" s="581">
        <v>1.2963</v>
      </c>
      <c r="D43" s="581">
        <v>0.1497</v>
      </c>
      <c r="E43" s="581">
        <v>2.6575000000000002</v>
      </c>
      <c r="F43" s="581">
        <v>0.60719999999999996</v>
      </c>
      <c r="G43" s="581">
        <v>1.5778000000000001</v>
      </c>
      <c r="H43" s="581">
        <v>1.9074</v>
      </c>
    </row>
    <row r="44" spans="1:8">
      <c r="A44" s="581">
        <v>38</v>
      </c>
      <c r="B44" s="581" t="s">
        <v>1557</v>
      </c>
      <c r="C44" s="581">
        <v>1.1974</v>
      </c>
      <c r="D44" s="581">
        <v>0.16800000000000001</v>
      </c>
      <c r="E44" s="581">
        <v>4.7423999999999999</v>
      </c>
      <c r="F44" s="581">
        <v>0.7167</v>
      </c>
      <c r="G44" s="581">
        <v>1.2736000000000001</v>
      </c>
      <c r="H44" s="581">
        <v>1.2405999999999999</v>
      </c>
    </row>
    <row r="45" spans="1:8">
      <c r="A45" s="581">
        <v>39</v>
      </c>
      <c r="B45" s="581" t="s">
        <v>1558</v>
      </c>
      <c r="C45" s="581">
        <v>1.2467999999999999</v>
      </c>
      <c r="D45" s="581">
        <v>0.29970000000000002</v>
      </c>
      <c r="E45" s="581">
        <v>3.4476</v>
      </c>
      <c r="F45" s="581">
        <v>0.58930000000000005</v>
      </c>
      <c r="G45" s="581">
        <v>1.1809000000000001</v>
      </c>
      <c r="H45" s="581">
        <v>1.5238</v>
      </c>
    </row>
    <row r="46" spans="1:8">
      <c r="A46" s="581">
        <v>40</v>
      </c>
      <c r="B46" s="581" t="s">
        <v>1559</v>
      </c>
      <c r="C46" s="581">
        <v>1.2984</v>
      </c>
      <c r="D46" s="581">
        <v>0.1368</v>
      </c>
      <c r="E46" s="581">
        <v>2.2025999999999999</v>
      </c>
      <c r="F46" s="581">
        <v>0.72450000000000003</v>
      </c>
      <c r="G46" s="581">
        <v>1.5705</v>
      </c>
      <c r="H46" s="581">
        <v>2.0013000000000001</v>
      </c>
    </row>
    <row r="47" spans="1:8">
      <c r="A47" s="581">
        <v>41</v>
      </c>
      <c r="B47" s="581" t="s">
        <v>1560</v>
      </c>
      <c r="C47" s="581">
        <v>1.3472</v>
      </c>
      <c r="D47" s="581">
        <v>0.21479999999999999</v>
      </c>
      <c r="E47" s="581">
        <v>3.4512999999999998</v>
      </c>
      <c r="F47" s="581">
        <v>0.68030000000000002</v>
      </c>
      <c r="G47" s="581">
        <v>1.4334</v>
      </c>
      <c r="H47" s="581">
        <v>1.9188000000000001</v>
      </c>
    </row>
    <row r="48" spans="1:8">
      <c r="A48" s="581">
        <v>42</v>
      </c>
      <c r="B48" s="581" t="s">
        <v>1561</v>
      </c>
      <c r="C48" s="581">
        <v>1.335</v>
      </c>
      <c r="D48" s="581">
        <v>0.19209999999999999</v>
      </c>
      <c r="E48" s="581">
        <v>3.6095000000000002</v>
      </c>
      <c r="F48" s="581">
        <v>0.68869999999999998</v>
      </c>
      <c r="G48" s="581">
        <v>1.5233000000000001</v>
      </c>
      <c r="H48" s="581">
        <v>1.8782000000000001</v>
      </c>
    </row>
    <row r="49" spans="1:8">
      <c r="A49" s="581">
        <v>43</v>
      </c>
      <c r="B49" s="581" t="s">
        <v>1562</v>
      </c>
      <c r="C49" s="581">
        <v>1.4372</v>
      </c>
      <c r="D49" s="581">
        <v>0.47470000000000001</v>
      </c>
      <c r="E49" s="581">
        <v>7.4461000000000004</v>
      </c>
      <c r="F49" s="581">
        <v>0.79330000000000001</v>
      </c>
      <c r="G49" s="581">
        <v>1.2045999999999999</v>
      </c>
      <c r="H49" s="581">
        <v>1.3807</v>
      </c>
    </row>
    <row r="50" spans="1:8">
      <c r="A50" s="581">
        <v>44</v>
      </c>
      <c r="B50" s="581" t="s">
        <v>1563</v>
      </c>
      <c r="C50" s="581">
        <v>1.3335999999999999</v>
      </c>
      <c r="D50" s="581">
        <v>0.3276</v>
      </c>
      <c r="E50" s="581">
        <v>5.0159000000000002</v>
      </c>
      <c r="F50" s="581">
        <v>0.87319999999999998</v>
      </c>
      <c r="G50" s="581">
        <v>1.2575000000000001</v>
      </c>
      <c r="H50" s="581">
        <v>1.4557</v>
      </c>
    </row>
    <row r="51" spans="1:8">
      <c r="A51" s="581">
        <v>45</v>
      </c>
      <c r="B51" s="581" t="s">
        <v>1564</v>
      </c>
      <c r="C51" s="581">
        <v>1</v>
      </c>
      <c r="D51" s="581">
        <v>0</v>
      </c>
      <c r="E51" s="581">
        <v>0</v>
      </c>
      <c r="F51" s="581">
        <v>0</v>
      </c>
      <c r="G51" s="581">
        <v>0</v>
      </c>
      <c r="H51" s="581">
        <v>0</v>
      </c>
    </row>
    <row r="52" spans="1:8">
      <c r="A52" s="581">
        <v>46</v>
      </c>
      <c r="B52" s="581" t="s">
        <v>1565</v>
      </c>
      <c r="C52" s="581">
        <v>1.1479999999999999</v>
      </c>
      <c r="D52" s="581">
        <v>3.5299999999999998E-2</v>
      </c>
      <c r="E52" s="581">
        <v>1.4105000000000001</v>
      </c>
      <c r="F52" s="581">
        <v>0.77759999999999996</v>
      </c>
      <c r="G52" s="581">
        <v>4.0907</v>
      </c>
      <c r="H52" s="581">
        <v>1.8432999999999999</v>
      </c>
    </row>
    <row r="53" spans="1:8">
      <c r="A53" s="581">
        <v>47</v>
      </c>
      <c r="B53" s="581" t="s">
        <v>1566</v>
      </c>
      <c r="C53" s="581">
        <v>1.4089</v>
      </c>
      <c r="D53" s="581">
        <v>0.26679999999999998</v>
      </c>
      <c r="E53" s="581">
        <v>4.7061999999999999</v>
      </c>
      <c r="F53" s="581">
        <v>0.88800000000000001</v>
      </c>
      <c r="G53" s="581">
        <v>1.3937999999999999</v>
      </c>
      <c r="H53" s="581">
        <v>1.6245000000000001</v>
      </c>
    </row>
    <row r="54" spans="1:8">
      <c r="A54" s="581">
        <v>48</v>
      </c>
      <c r="B54" s="581" t="s">
        <v>1567</v>
      </c>
      <c r="C54" s="581">
        <v>1.3504</v>
      </c>
      <c r="D54" s="581">
        <v>0.34849999999999998</v>
      </c>
      <c r="E54" s="581">
        <v>5.7957999999999998</v>
      </c>
      <c r="F54" s="581">
        <v>0.88490000000000002</v>
      </c>
      <c r="G54" s="581">
        <v>1.2325999999999999</v>
      </c>
      <c r="H54" s="581">
        <v>1.4350000000000001</v>
      </c>
    </row>
    <row r="55" spans="1:8">
      <c r="A55" s="581">
        <v>49</v>
      </c>
      <c r="B55" s="581" t="s">
        <v>1568</v>
      </c>
      <c r="C55" s="581">
        <v>1.2290000000000001</v>
      </c>
      <c r="D55" s="581">
        <v>0.15190000000000001</v>
      </c>
      <c r="E55" s="581">
        <v>1.9412</v>
      </c>
      <c r="F55" s="581">
        <v>0.78539999999999999</v>
      </c>
      <c r="G55" s="581">
        <v>1.41</v>
      </c>
      <c r="H55" s="581">
        <v>2.1770999999999998</v>
      </c>
    </row>
    <row r="56" spans="1:8">
      <c r="A56" s="581">
        <v>50</v>
      </c>
      <c r="B56" s="581" t="s">
        <v>1569</v>
      </c>
      <c r="C56" s="581">
        <v>1.3341000000000001</v>
      </c>
      <c r="D56" s="581">
        <v>0.3044</v>
      </c>
      <c r="E56" s="581">
        <v>10.7956</v>
      </c>
      <c r="F56" s="581">
        <v>0.83850000000000002</v>
      </c>
      <c r="G56" s="581">
        <v>1.2562</v>
      </c>
      <c r="H56" s="581">
        <v>1.1819999999999999</v>
      </c>
    </row>
    <row r="57" spans="1:8">
      <c r="A57" s="581">
        <v>51</v>
      </c>
      <c r="B57" s="581" t="s">
        <v>1570</v>
      </c>
      <c r="C57" s="581">
        <v>1.4682999999999999</v>
      </c>
      <c r="D57" s="581">
        <v>0.35389999999999999</v>
      </c>
      <c r="E57" s="581">
        <v>6.7255000000000003</v>
      </c>
      <c r="F57" s="581">
        <v>0.7893</v>
      </c>
      <c r="G57" s="581">
        <v>1.3728</v>
      </c>
      <c r="H57" s="581">
        <v>1.5232000000000001</v>
      </c>
    </row>
    <row r="58" spans="1:8">
      <c r="A58" s="581">
        <v>52</v>
      </c>
      <c r="B58" s="581" t="s">
        <v>1571</v>
      </c>
      <c r="C58" s="581">
        <v>1.3432999999999999</v>
      </c>
      <c r="D58" s="581">
        <v>0.33500000000000002</v>
      </c>
      <c r="E58" s="581">
        <v>11.155900000000001</v>
      </c>
      <c r="F58" s="581">
        <v>0.85399999999999998</v>
      </c>
      <c r="G58" s="581">
        <v>1.2128000000000001</v>
      </c>
      <c r="H58" s="581">
        <v>1.1615</v>
      </c>
    </row>
    <row r="59" spans="1:8">
      <c r="A59" s="581">
        <v>53</v>
      </c>
      <c r="B59" s="581" t="s">
        <v>1572</v>
      </c>
      <c r="C59" s="581">
        <v>1.3027</v>
      </c>
      <c r="D59" s="581">
        <v>0.23619999999999999</v>
      </c>
      <c r="E59" s="581">
        <v>4.4939</v>
      </c>
      <c r="F59" s="581">
        <v>0.81179999999999997</v>
      </c>
      <c r="G59" s="581">
        <v>1.3007</v>
      </c>
      <c r="H59" s="581">
        <v>1.4535</v>
      </c>
    </row>
    <row r="60" spans="1:8">
      <c r="A60" s="581">
        <v>54</v>
      </c>
      <c r="B60" s="581" t="s">
        <v>1573</v>
      </c>
      <c r="C60" s="581">
        <v>1.3234999999999999</v>
      </c>
      <c r="D60" s="581">
        <v>0.25480000000000003</v>
      </c>
      <c r="E60" s="581">
        <v>5.0547000000000004</v>
      </c>
      <c r="F60" s="581">
        <v>0.72740000000000005</v>
      </c>
      <c r="G60" s="581">
        <v>1.2727999999999999</v>
      </c>
      <c r="H60" s="581">
        <v>1.3902000000000001</v>
      </c>
    </row>
    <row r="61" spans="1:8">
      <c r="A61" s="581">
        <v>55</v>
      </c>
      <c r="B61" s="581" t="s">
        <v>1574</v>
      </c>
      <c r="C61" s="581">
        <v>1.3253999999999999</v>
      </c>
      <c r="D61" s="581">
        <v>0.3256</v>
      </c>
      <c r="E61" s="581">
        <v>9.8289000000000009</v>
      </c>
      <c r="F61" s="581">
        <v>0.86739999999999995</v>
      </c>
      <c r="G61" s="581">
        <v>1.2154</v>
      </c>
      <c r="H61" s="581">
        <v>1.1902999999999999</v>
      </c>
    </row>
    <row r="62" spans="1:8">
      <c r="A62" s="581">
        <v>56</v>
      </c>
      <c r="B62" s="581" t="s">
        <v>1575</v>
      </c>
      <c r="C62" s="581">
        <v>1.3935</v>
      </c>
      <c r="D62" s="581">
        <v>0.4153</v>
      </c>
      <c r="E62" s="581">
        <v>17.645199999999999</v>
      </c>
      <c r="F62" s="581">
        <v>0.87409999999999999</v>
      </c>
      <c r="G62" s="581">
        <v>1.2069000000000001</v>
      </c>
      <c r="H62" s="581">
        <v>1.1238999999999999</v>
      </c>
    </row>
    <row r="63" spans="1:8">
      <c r="A63" s="581">
        <v>57</v>
      </c>
      <c r="B63" s="581" t="s">
        <v>1576</v>
      </c>
      <c r="C63" s="581">
        <v>1.4393</v>
      </c>
      <c r="D63" s="581">
        <v>0.46060000000000001</v>
      </c>
      <c r="E63" s="581">
        <v>15.878</v>
      </c>
      <c r="F63" s="581">
        <v>0.86990000000000001</v>
      </c>
      <c r="G63" s="581">
        <v>1.2146999999999999</v>
      </c>
      <c r="H63" s="581">
        <v>1.1614</v>
      </c>
    </row>
    <row r="64" spans="1:8">
      <c r="A64" s="581">
        <v>58</v>
      </c>
      <c r="B64" s="581" t="s">
        <v>1577</v>
      </c>
      <c r="C64" s="581">
        <v>1.3504</v>
      </c>
      <c r="D64" s="581">
        <v>0.36070000000000002</v>
      </c>
      <c r="E64" s="581">
        <v>17.311800000000002</v>
      </c>
      <c r="F64" s="581">
        <v>0.86350000000000005</v>
      </c>
      <c r="G64" s="581">
        <v>1.2079</v>
      </c>
      <c r="H64" s="581">
        <v>1.1037999999999999</v>
      </c>
    </row>
    <row r="65" spans="1:8">
      <c r="A65" s="581">
        <v>59</v>
      </c>
      <c r="B65" s="581" t="s">
        <v>1578</v>
      </c>
      <c r="C65" s="581">
        <v>1.4154</v>
      </c>
      <c r="D65" s="581">
        <v>0.29659999999999997</v>
      </c>
      <c r="E65" s="581">
        <v>8.0015999999999998</v>
      </c>
      <c r="F65" s="581">
        <v>0.79400000000000004</v>
      </c>
      <c r="G65" s="581">
        <v>1.3674999999999999</v>
      </c>
      <c r="H65" s="581">
        <v>1.3623000000000001</v>
      </c>
    </row>
    <row r="66" spans="1:8">
      <c r="A66" s="581">
        <v>60</v>
      </c>
      <c r="B66" s="581" t="s">
        <v>1579</v>
      </c>
      <c r="C66" s="581">
        <v>1.3523000000000001</v>
      </c>
      <c r="D66" s="581">
        <v>0.3125</v>
      </c>
      <c r="E66" s="581">
        <v>15.1008</v>
      </c>
      <c r="F66" s="581">
        <v>0.74909999999999999</v>
      </c>
      <c r="G66" s="581">
        <v>1.2518</v>
      </c>
      <c r="H66" s="581">
        <v>1.1204000000000001</v>
      </c>
    </row>
    <row r="67" spans="1:8">
      <c r="A67" s="581">
        <v>61</v>
      </c>
      <c r="B67" s="581" t="s">
        <v>1580</v>
      </c>
      <c r="C67" s="581">
        <v>1.4404999999999999</v>
      </c>
      <c r="D67" s="581">
        <v>0.35849999999999999</v>
      </c>
      <c r="E67" s="581">
        <v>9.0798000000000005</v>
      </c>
      <c r="F67" s="581">
        <v>0.81840000000000002</v>
      </c>
      <c r="G67" s="581">
        <v>1.2956000000000001</v>
      </c>
      <c r="H67" s="581">
        <v>1.294</v>
      </c>
    </row>
    <row r="68" spans="1:8">
      <c r="A68" s="581">
        <v>62</v>
      </c>
      <c r="B68" s="581" t="s">
        <v>1581</v>
      </c>
      <c r="C68" s="581">
        <v>0.65380000000000005</v>
      </c>
      <c r="D68" s="581">
        <v>0.1147</v>
      </c>
      <c r="E68" s="581">
        <v>3.3633999999999999</v>
      </c>
      <c r="F68" s="581">
        <v>0.39939999999999998</v>
      </c>
      <c r="G68" s="581">
        <v>0</v>
      </c>
      <c r="H68" s="581">
        <v>0</v>
      </c>
    </row>
    <row r="70" spans="1:8">
      <c r="C70" s="581">
        <f>SUM(C6:C68)</f>
        <v>80.775500000000008</v>
      </c>
      <c r="D70" s="581">
        <f t="shared" ref="D70:H70" si="0">SUM(D6:D68)</f>
        <v>14.253999999999996</v>
      </c>
      <c r="E70" s="581">
        <f t="shared" si="0"/>
        <v>365.68469999999996</v>
      </c>
      <c r="F70" s="581">
        <f t="shared" si="0"/>
        <v>39.49499999999999</v>
      </c>
      <c r="G70" s="581">
        <f t="shared" si="0"/>
        <v>83.012800000000027</v>
      </c>
      <c r="H70" s="581">
        <f t="shared" si="0"/>
        <v>89.054800000000014</v>
      </c>
    </row>
    <row r="71" spans="1:8">
      <c r="C71" s="581">
        <f>C70-SUM(warren!B2:B63)</f>
        <v>0.86690000000001532</v>
      </c>
      <c r="D71" s="581">
        <f>D70-SUM(warren!C2:C63)</f>
        <v>0.59309999999999619</v>
      </c>
      <c r="E71" s="581">
        <f>E70-SUM(warren!D2:D63)</f>
        <v>17.155599999999936</v>
      </c>
      <c r="F71" s="581">
        <f>F70-SUM(warren!E2:E63)</f>
        <v>-0.94010000000000815</v>
      </c>
      <c r="G71" s="581">
        <f>G70-SUM(warren!F2:F63)</f>
        <v>4.2243000000000279</v>
      </c>
      <c r="H71" s="581">
        <f>H70-SUM(warren!G2:G63)</f>
        <v>4.7025000000000006</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B2:E6"/>
  <sheetViews>
    <sheetView workbookViewId="0">
      <selection activeCell="B2" sqref="B2"/>
    </sheetView>
  </sheetViews>
  <sheetFormatPr defaultRowHeight="13.2"/>
  <cols>
    <col min="2" max="2" width="59.33203125" customWidth="1"/>
    <col min="3" max="3" width="17.33203125" customWidth="1"/>
    <col min="4" max="4" width="14.88671875" customWidth="1"/>
  </cols>
  <sheetData>
    <row r="2" spans="2:5">
      <c r="C2" t="s">
        <v>1668</v>
      </c>
      <c r="D2" t="s">
        <v>1669</v>
      </c>
      <c r="E2" t="s">
        <v>1670</v>
      </c>
    </row>
    <row r="3" spans="2:5" ht="14.4">
      <c r="B3" t="str">
        <f>'Calculation&amp;Summary'!P89</f>
        <v>Total One Time Tax Benefits</v>
      </c>
      <c r="C3" s="583">
        <v>12542850.000000002</v>
      </c>
      <c r="D3" s="583">
        <v>13083390.000000002</v>
      </c>
      <c r="E3" s="584">
        <f>D3/C3-1</f>
        <v>4.3095468733182596E-2</v>
      </c>
    </row>
    <row r="4" spans="2:5" ht="14.4">
      <c r="B4" t="str">
        <f>'Calculation&amp;Summary'!P90</f>
        <v>Total State Ongoing Benefits (PV @ 6%)</v>
      </c>
      <c r="C4" s="583">
        <v>174204115.04101917</v>
      </c>
      <c r="D4" s="583">
        <v>174204115.04101917</v>
      </c>
      <c r="E4" s="584">
        <f t="shared" ref="E4:E6" si="0">D4/C4-1</f>
        <v>0</v>
      </c>
    </row>
    <row r="5" spans="2:5" ht="14.4">
      <c r="B5" t="str">
        <f>'Calculation&amp;Summary'!P91</f>
        <v>Total Benefits</v>
      </c>
      <c r="C5" s="583">
        <v>186746965.04101917</v>
      </c>
      <c r="D5" s="583">
        <v>187287505.04101917</v>
      </c>
      <c r="E5" s="584">
        <f t="shared" si="0"/>
        <v>2.8945048712372135E-3</v>
      </c>
    </row>
    <row r="6" spans="2:5" ht="14.4">
      <c r="B6" t="str">
        <f>'Calculation&amp;Summary'!P92</f>
        <v>Implied Maximum Award at 100% Coverage for Camden Projects</v>
      </c>
      <c r="C6" s="583">
        <v>169769968.21910831</v>
      </c>
      <c r="D6" s="583">
        <v>170261368.21910831</v>
      </c>
      <c r="E6" s="584">
        <f t="shared" si="0"/>
        <v>2.8945048712372135E-3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Z594"/>
  <sheetViews>
    <sheetView workbookViewId="0">
      <pane xSplit="3" ySplit="1" topLeftCell="H2" activePane="bottomRight" state="frozen"/>
      <selection activeCell="R66" sqref="R66"/>
      <selection pane="topRight" activeCell="R66" sqref="R66"/>
      <selection pane="bottomLeft" activeCell="R66" sqref="R66"/>
      <selection pane="bottomRight" activeCell="R22" sqref="R22"/>
    </sheetView>
  </sheetViews>
  <sheetFormatPr defaultRowHeight="13.2"/>
  <cols>
    <col min="1" max="1" width="9.109375" style="42"/>
    <col min="2" max="2" width="28.109375" style="42" bestFit="1" customWidth="1"/>
    <col min="3" max="3" width="9.109375" style="42"/>
    <col min="4" max="4" width="9.33203125" style="42" bestFit="1" customWidth="1"/>
    <col min="5" max="5" width="16.5546875" style="42" bestFit="1" customWidth="1"/>
    <col min="6" max="6" width="12.6640625" style="42" customWidth="1"/>
    <col min="7" max="7" width="16" style="42" bestFit="1" customWidth="1"/>
    <col min="8" max="8" width="11" style="42" customWidth="1"/>
    <col min="9" max="9" width="14" style="42" bestFit="1" customWidth="1"/>
    <col min="10" max="10" width="10.44140625" style="42" customWidth="1"/>
    <col min="11" max="11" width="14" style="42" bestFit="1" customWidth="1"/>
    <col min="12" max="12" width="9.33203125" style="42" bestFit="1" customWidth="1"/>
    <col min="13" max="13" width="17.6640625" style="42" bestFit="1" customWidth="1"/>
    <col min="14" max="14" width="9.33203125" style="42" bestFit="1" customWidth="1"/>
    <col min="15" max="15" width="17.6640625" style="42" bestFit="1" customWidth="1"/>
    <col min="16" max="16" width="9.33203125" style="42" bestFit="1" customWidth="1"/>
    <col min="17" max="17" width="16.5546875" style="42" bestFit="1" customWidth="1"/>
    <col min="18" max="18" width="9.33203125" style="42" bestFit="1" customWidth="1"/>
    <col min="19" max="19" width="16.5546875" style="42" bestFit="1" customWidth="1"/>
    <col min="20" max="20" width="10.33203125" style="42" bestFit="1" customWidth="1"/>
    <col min="21" max="21" width="16" style="42" bestFit="1" customWidth="1"/>
    <col min="22" max="22" width="10.33203125" style="42" customWidth="1"/>
    <col min="23" max="23" width="10.5546875" style="42" customWidth="1"/>
    <col min="24" max="24" width="16" style="42" bestFit="1" customWidth="1"/>
    <col min="25" max="25" width="11.33203125" style="42" bestFit="1" customWidth="1"/>
    <col min="26" max="26" width="10.109375" style="42" customWidth="1"/>
    <col min="27" max="257" width="9.109375" style="42"/>
    <col min="258" max="258" width="28.109375" style="42" bestFit="1" customWidth="1"/>
    <col min="259" max="259" width="9.109375" style="42"/>
    <col min="260" max="260" width="9.33203125" style="42" bestFit="1" customWidth="1"/>
    <col min="261" max="261" width="16.5546875" style="42" bestFit="1" customWidth="1"/>
    <col min="262" max="262" width="12.6640625" style="42" customWidth="1"/>
    <col min="263" max="263" width="16" style="42" bestFit="1" customWidth="1"/>
    <col min="264" max="264" width="11" style="42" customWidth="1"/>
    <col min="265" max="265" width="14" style="42" bestFit="1" customWidth="1"/>
    <col min="266" max="266" width="10.44140625" style="42" customWidth="1"/>
    <col min="267" max="267" width="14" style="42" bestFit="1" customWidth="1"/>
    <col min="268" max="268" width="9.33203125" style="42" bestFit="1" customWidth="1"/>
    <col min="269" max="269" width="17.6640625" style="42" bestFit="1" customWidth="1"/>
    <col min="270" max="270" width="9.33203125" style="42" bestFit="1" customWidth="1"/>
    <col min="271" max="271" width="17.6640625" style="42" bestFit="1" customWidth="1"/>
    <col min="272" max="272" width="9.33203125" style="42" bestFit="1" customWidth="1"/>
    <col min="273" max="273" width="16.5546875" style="42" bestFit="1" customWidth="1"/>
    <col min="274" max="274" width="9.33203125" style="42" bestFit="1" customWidth="1"/>
    <col min="275" max="275" width="16.5546875" style="42" bestFit="1" customWidth="1"/>
    <col min="276" max="276" width="10.33203125" style="42" bestFit="1" customWidth="1"/>
    <col min="277" max="277" width="16" style="42" bestFit="1" customWidth="1"/>
    <col min="278" max="278" width="10.33203125" style="42" customWidth="1"/>
    <col min="279" max="279" width="10.5546875" style="42" customWidth="1"/>
    <col min="280" max="280" width="16" style="42" bestFit="1" customWidth="1"/>
    <col min="281" max="281" width="11.33203125" style="42" bestFit="1" customWidth="1"/>
    <col min="282" max="282" width="10.109375" style="42" customWidth="1"/>
    <col min="283" max="513" width="9.109375" style="42"/>
    <col min="514" max="514" width="28.109375" style="42" bestFit="1" customWidth="1"/>
    <col min="515" max="515" width="9.109375" style="42"/>
    <col min="516" max="516" width="9.33203125" style="42" bestFit="1" customWidth="1"/>
    <col min="517" max="517" width="16.5546875" style="42" bestFit="1" customWidth="1"/>
    <col min="518" max="518" width="12.6640625" style="42" customWidth="1"/>
    <col min="519" max="519" width="16" style="42" bestFit="1" customWidth="1"/>
    <col min="520" max="520" width="11" style="42" customWidth="1"/>
    <col min="521" max="521" width="14" style="42" bestFit="1" customWidth="1"/>
    <col min="522" max="522" width="10.44140625" style="42" customWidth="1"/>
    <col min="523" max="523" width="14" style="42" bestFit="1" customWidth="1"/>
    <col min="524" max="524" width="9.33203125" style="42" bestFit="1" customWidth="1"/>
    <col min="525" max="525" width="17.6640625" style="42" bestFit="1" customWidth="1"/>
    <col min="526" max="526" width="9.33203125" style="42" bestFit="1" customWidth="1"/>
    <col min="527" max="527" width="17.6640625" style="42" bestFit="1" customWidth="1"/>
    <col min="528" max="528" width="9.33203125" style="42" bestFit="1" customWidth="1"/>
    <col min="529" max="529" width="16.5546875" style="42" bestFit="1" customWidth="1"/>
    <col min="530" max="530" width="9.33203125" style="42" bestFit="1" customWidth="1"/>
    <col min="531" max="531" width="16.5546875" style="42" bestFit="1" customWidth="1"/>
    <col min="532" max="532" width="10.33203125" style="42" bestFit="1" customWidth="1"/>
    <col min="533" max="533" width="16" style="42" bestFit="1" customWidth="1"/>
    <col min="534" max="534" width="10.33203125" style="42" customWidth="1"/>
    <col min="535" max="535" width="10.5546875" style="42" customWidth="1"/>
    <col min="536" max="536" width="16" style="42" bestFit="1" customWidth="1"/>
    <col min="537" max="537" width="11.33203125" style="42" bestFit="1" customWidth="1"/>
    <col min="538" max="538" width="10.109375" style="42" customWidth="1"/>
    <col min="539" max="769" width="9.109375" style="42"/>
    <col min="770" max="770" width="28.109375" style="42" bestFit="1" customWidth="1"/>
    <col min="771" max="771" width="9.109375" style="42"/>
    <col min="772" max="772" width="9.33203125" style="42" bestFit="1" customWidth="1"/>
    <col min="773" max="773" width="16.5546875" style="42" bestFit="1" customWidth="1"/>
    <col min="774" max="774" width="12.6640625" style="42" customWidth="1"/>
    <col min="775" max="775" width="16" style="42" bestFit="1" customWidth="1"/>
    <col min="776" max="776" width="11" style="42" customWidth="1"/>
    <col min="777" max="777" width="14" style="42" bestFit="1" customWidth="1"/>
    <col min="778" max="778" width="10.44140625" style="42" customWidth="1"/>
    <col min="779" max="779" width="14" style="42" bestFit="1" customWidth="1"/>
    <col min="780" max="780" width="9.33203125" style="42" bestFit="1" customWidth="1"/>
    <col min="781" max="781" width="17.6640625" style="42" bestFit="1" customWidth="1"/>
    <col min="782" max="782" width="9.33203125" style="42" bestFit="1" customWidth="1"/>
    <col min="783" max="783" width="17.6640625" style="42" bestFit="1" customWidth="1"/>
    <col min="784" max="784" width="9.33203125" style="42" bestFit="1" customWidth="1"/>
    <col min="785" max="785" width="16.5546875" style="42" bestFit="1" customWidth="1"/>
    <col min="786" max="786" width="9.33203125" style="42" bestFit="1" customWidth="1"/>
    <col min="787" max="787" width="16.5546875" style="42" bestFit="1" customWidth="1"/>
    <col min="788" max="788" width="10.33203125" style="42" bestFit="1" customWidth="1"/>
    <col min="789" max="789" width="16" style="42" bestFit="1" customWidth="1"/>
    <col min="790" max="790" width="10.33203125" style="42" customWidth="1"/>
    <col min="791" max="791" width="10.5546875" style="42" customWidth="1"/>
    <col min="792" max="792" width="16" style="42" bestFit="1" customWidth="1"/>
    <col min="793" max="793" width="11.33203125" style="42" bestFit="1" customWidth="1"/>
    <col min="794" max="794" width="10.109375" style="42" customWidth="1"/>
    <col min="795" max="1025" width="9.109375" style="42"/>
    <col min="1026" max="1026" width="28.109375" style="42" bestFit="1" customWidth="1"/>
    <col min="1027" max="1027" width="9.109375" style="42"/>
    <col min="1028" max="1028" width="9.33203125" style="42" bestFit="1" customWidth="1"/>
    <col min="1029" max="1029" width="16.5546875" style="42" bestFit="1" customWidth="1"/>
    <col min="1030" max="1030" width="12.6640625" style="42" customWidth="1"/>
    <col min="1031" max="1031" width="16" style="42" bestFit="1" customWidth="1"/>
    <col min="1032" max="1032" width="11" style="42" customWidth="1"/>
    <col min="1033" max="1033" width="14" style="42" bestFit="1" customWidth="1"/>
    <col min="1034" max="1034" width="10.44140625" style="42" customWidth="1"/>
    <col min="1035" max="1035" width="14" style="42" bestFit="1" customWidth="1"/>
    <col min="1036" max="1036" width="9.33203125" style="42" bestFit="1" customWidth="1"/>
    <col min="1037" max="1037" width="17.6640625" style="42" bestFit="1" customWidth="1"/>
    <col min="1038" max="1038" width="9.33203125" style="42" bestFit="1" customWidth="1"/>
    <col min="1039" max="1039" width="17.6640625" style="42" bestFit="1" customWidth="1"/>
    <col min="1040" max="1040" width="9.33203125" style="42" bestFit="1" customWidth="1"/>
    <col min="1041" max="1041" width="16.5546875" style="42" bestFit="1" customWidth="1"/>
    <col min="1042" max="1042" width="9.33203125" style="42" bestFit="1" customWidth="1"/>
    <col min="1043" max="1043" width="16.5546875" style="42" bestFit="1" customWidth="1"/>
    <col min="1044" max="1044" width="10.33203125" style="42" bestFit="1" customWidth="1"/>
    <col min="1045" max="1045" width="16" style="42" bestFit="1" customWidth="1"/>
    <col min="1046" max="1046" width="10.33203125" style="42" customWidth="1"/>
    <col min="1047" max="1047" width="10.5546875" style="42" customWidth="1"/>
    <col min="1048" max="1048" width="16" style="42" bestFit="1" customWidth="1"/>
    <col min="1049" max="1049" width="11.33203125" style="42" bestFit="1" customWidth="1"/>
    <col min="1050" max="1050" width="10.109375" style="42" customWidth="1"/>
    <col min="1051" max="1281" width="9.109375" style="42"/>
    <col min="1282" max="1282" width="28.109375" style="42" bestFit="1" customWidth="1"/>
    <col min="1283" max="1283" width="9.109375" style="42"/>
    <col min="1284" max="1284" width="9.33203125" style="42" bestFit="1" customWidth="1"/>
    <col min="1285" max="1285" width="16.5546875" style="42" bestFit="1" customWidth="1"/>
    <col min="1286" max="1286" width="12.6640625" style="42" customWidth="1"/>
    <col min="1287" max="1287" width="16" style="42" bestFit="1" customWidth="1"/>
    <col min="1288" max="1288" width="11" style="42" customWidth="1"/>
    <col min="1289" max="1289" width="14" style="42" bestFit="1" customWidth="1"/>
    <col min="1290" max="1290" width="10.44140625" style="42" customWidth="1"/>
    <col min="1291" max="1291" width="14" style="42" bestFit="1" customWidth="1"/>
    <col min="1292" max="1292" width="9.33203125" style="42" bestFit="1" customWidth="1"/>
    <col min="1293" max="1293" width="17.6640625" style="42" bestFit="1" customWidth="1"/>
    <col min="1294" max="1294" width="9.33203125" style="42" bestFit="1" customWidth="1"/>
    <col min="1295" max="1295" width="17.6640625" style="42" bestFit="1" customWidth="1"/>
    <col min="1296" max="1296" width="9.33203125" style="42" bestFit="1" customWidth="1"/>
    <col min="1297" max="1297" width="16.5546875" style="42" bestFit="1" customWidth="1"/>
    <col min="1298" max="1298" width="9.33203125" style="42" bestFit="1" customWidth="1"/>
    <col min="1299" max="1299" width="16.5546875" style="42" bestFit="1" customWidth="1"/>
    <col min="1300" max="1300" width="10.33203125" style="42" bestFit="1" customWidth="1"/>
    <col min="1301" max="1301" width="16" style="42" bestFit="1" customWidth="1"/>
    <col min="1302" max="1302" width="10.33203125" style="42" customWidth="1"/>
    <col min="1303" max="1303" width="10.5546875" style="42" customWidth="1"/>
    <col min="1304" max="1304" width="16" style="42" bestFit="1" customWidth="1"/>
    <col min="1305" max="1305" width="11.33203125" style="42" bestFit="1" customWidth="1"/>
    <col min="1306" max="1306" width="10.109375" style="42" customWidth="1"/>
    <col min="1307" max="1537" width="9.109375" style="42"/>
    <col min="1538" max="1538" width="28.109375" style="42" bestFit="1" customWidth="1"/>
    <col min="1539" max="1539" width="9.109375" style="42"/>
    <col min="1540" max="1540" width="9.33203125" style="42" bestFit="1" customWidth="1"/>
    <col min="1541" max="1541" width="16.5546875" style="42" bestFit="1" customWidth="1"/>
    <col min="1542" max="1542" width="12.6640625" style="42" customWidth="1"/>
    <col min="1543" max="1543" width="16" style="42" bestFit="1" customWidth="1"/>
    <col min="1544" max="1544" width="11" style="42" customWidth="1"/>
    <col min="1545" max="1545" width="14" style="42" bestFit="1" customWidth="1"/>
    <col min="1546" max="1546" width="10.44140625" style="42" customWidth="1"/>
    <col min="1547" max="1547" width="14" style="42" bestFit="1" customWidth="1"/>
    <col min="1548" max="1548" width="9.33203125" style="42" bestFit="1" customWidth="1"/>
    <col min="1549" max="1549" width="17.6640625" style="42" bestFit="1" customWidth="1"/>
    <col min="1550" max="1550" width="9.33203125" style="42" bestFit="1" customWidth="1"/>
    <col min="1551" max="1551" width="17.6640625" style="42" bestFit="1" customWidth="1"/>
    <col min="1552" max="1552" width="9.33203125" style="42" bestFit="1" customWidth="1"/>
    <col min="1553" max="1553" width="16.5546875" style="42" bestFit="1" customWidth="1"/>
    <col min="1554" max="1554" width="9.33203125" style="42" bestFit="1" customWidth="1"/>
    <col min="1555" max="1555" width="16.5546875" style="42" bestFit="1" customWidth="1"/>
    <col min="1556" max="1556" width="10.33203125" style="42" bestFit="1" customWidth="1"/>
    <col min="1557" max="1557" width="16" style="42" bestFit="1" customWidth="1"/>
    <col min="1558" max="1558" width="10.33203125" style="42" customWidth="1"/>
    <col min="1559" max="1559" width="10.5546875" style="42" customWidth="1"/>
    <col min="1560" max="1560" width="16" style="42" bestFit="1" customWidth="1"/>
    <col min="1561" max="1561" width="11.33203125" style="42" bestFit="1" customWidth="1"/>
    <col min="1562" max="1562" width="10.109375" style="42" customWidth="1"/>
    <col min="1563" max="1793" width="9.109375" style="42"/>
    <col min="1794" max="1794" width="28.109375" style="42" bestFit="1" customWidth="1"/>
    <col min="1795" max="1795" width="9.109375" style="42"/>
    <col min="1796" max="1796" width="9.33203125" style="42" bestFit="1" customWidth="1"/>
    <col min="1797" max="1797" width="16.5546875" style="42" bestFit="1" customWidth="1"/>
    <col min="1798" max="1798" width="12.6640625" style="42" customWidth="1"/>
    <col min="1799" max="1799" width="16" style="42" bestFit="1" customWidth="1"/>
    <col min="1800" max="1800" width="11" style="42" customWidth="1"/>
    <col min="1801" max="1801" width="14" style="42" bestFit="1" customWidth="1"/>
    <col min="1802" max="1802" width="10.44140625" style="42" customWidth="1"/>
    <col min="1803" max="1803" width="14" style="42" bestFit="1" customWidth="1"/>
    <col min="1804" max="1804" width="9.33203125" style="42" bestFit="1" customWidth="1"/>
    <col min="1805" max="1805" width="17.6640625" style="42" bestFit="1" customWidth="1"/>
    <col min="1806" max="1806" width="9.33203125" style="42" bestFit="1" customWidth="1"/>
    <col min="1807" max="1807" width="17.6640625" style="42" bestFit="1" customWidth="1"/>
    <col min="1808" max="1808" width="9.33203125" style="42" bestFit="1" customWidth="1"/>
    <col min="1809" max="1809" width="16.5546875" style="42" bestFit="1" customWidth="1"/>
    <col min="1810" max="1810" width="9.33203125" style="42" bestFit="1" customWidth="1"/>
    <col min="1811" max="1811" width="16.5546875" style="42" bestFit="1" customWidth="1"/>
    <col min="1812" max="1812" width="10.33203125" style="42" bestFit="1" customWidth="1"/>
    <col min="1813" max="1813" width="16" style="42" bestFit="1" customWidth="1"/>
    <col min="1814" max="1814" width="10.33203125" style="42" customWidth="1"/>
    <col min="1815" max="1815" width="10.5546875" style="42" customWidth="1"/>
    <col min="1816" max="1816" width="16" style="42" bestFit="1" customWidth="1"/>
    <col min="1817" max="1817" width="11.33203125" style="42" bestFit="1" customWidth="1"/>
    <col min="1818" max="1818" width="10.109375" style="42" customWidth="1"/>
    <col min="1819" max="2049" width="9.109375" style="42"/>
    <col min="2050" max="2050" width="28.109375" style="42" bestFit="1" customWidth="1"/>
    <col min="2051" max="2051" width="9.109375" style="42"/>
    <col min="2052" max="2052" width="9.33203125" style="42" bestFit="1" customWidth="1"/>
    <col min="2053" max="2053" width="16.5546875" style="42" bestFit="1" customWidth="1"/>
    <col min="2054" max="2054" width="12.6640625" style="42" customWidth="1"/>
    <col min="2055" max="2055" width="16" style="42" bestFit="1" customWidth="1"/>
    <col min="2056" max="2056" width="11" style="42" customWidth="1"/>
    <col min="2057" max="2057" width="14" style="42" bestFit="1" customWidth="1"/>
    <col min="2058" max="2058" width="10.44140625" style="42" customWidth="1"/>
    <col min="2059" max="2059" width="14" style="42" bestFit="1" customWidth="1"/>
    <col min="2060" max="2060" width="9.33203125" style="42" bestFit="1" customWidth="1"/>
    <col min="2061" max="2061" width="17.6640625" style="42" bestFit="1" customWidth="1"/>
    <col min="2062" max="2062" width="9.33203125" style="42" bestFit="1" customWidth="1"/>
    <col min="2063" max="2063" width="17.6640625" style="42" bestFit="1" customWidth="1"/>
    <col min="2064" max="2064" width="9.33203125" style="42" bestFit="1" customWidth="1"/>
    <col min="2065" max="2065" width="16.5546875" style="42" bestFit="1" customWidth="1"/>
    <col min="2066" max="2066" width="9.33203125" style="42" bestFit="1" customWidth="1"/>
    <col min="2067" max="2067" width="16.5546875" style="42" bestFit="1" customWidth="1"/>
    <col min="2068" max="2068" width="10.33203125" style="42" bestFit="1" customWidth="1"/>
    <col min="2069" max="2069" width="16" style="42" bestFit="1" customWidth="1"/>
    <col min="2070" max="2070" width="10.33203125" style="42" customWidth="1"/>
    <col min="2071" max="2071" width="10.5546875" style="42" customWidth="1"/>
    <col min="2072" max="2072" width="16" style="42" bestFit="1" customWidth="1"/>
    <col min="2073" max="2073" width="11.33203125" style="42" bestFit="1" customWidth="1"/>
    <col min="2074" max="2074" width="10.109375" style="42" customWidth="1"/>
    <col min="2075" max="2305" width="9.109375" style="42"/>
    <col min="2306" max="2306" width="28.109375" style="42" bestFit="1" customWidth="1"/>
    <col min="2307" max="2307" width="9.109375" style="42"/>
    <col min="2308" max="2308" width="9.33203125" style="42" bestFit="1" customWidth="1"/>
    <col min="2309" max="2309" width="16.5546875" style="42" bestFit="1" customWidth="1"/>
    <col min="2310" max="2310" width="12.6640625" style="42" customWidth="1"/>
    <col min="2311" max="2311" width="16" style="42" bestFit="1" customWidth="1"/>
    <col min="2312" max="2312" width="11" style="42" customWidth="1"/>
    <col min="2313" max="2313" width="14" style="42" bestFit="1" customWidth="1"/>
    <col min="2314" max="2314" width="10.44140625" style="42" customWidth="1"/>
    <col min="2315" max="2315" width="14" style="42" bestFit="1" customWidth="1"/>
    <col min="2316" max="2316" width="9.33203125" style="42" bestFit="1" customWidth="1"/>
    <col min="2317" max="2317" width="17.6640625" style="42" bestFit="1" customWidth="1"/>
    <col min="2318" max="2318" width="9.33203125" style="42" bestFit="1" customWidth="1"/>
    <col min="2319" max="2319" width="17.6640625" style="42" bestFit="1" customWidth="1"/>
    <col min="2320" max="2320" width="9.33203125" style="42" bestFit="1" customWidth="1"/>
    <col min="2321" max="2321" width="16.5546875" style="42" bestFit="1" customWidth="1"/>
    <col min="2322" max="2322" width="9.33203125" style="42" bestFit="1" customWidth="1"/>
    <col min="2323" max="2323" width="16.5546875" style="42" bestFit="1" customWidth="1"/>
    <col min="2324" max="2324" width="10.33203125" style="42" bestFit="1" customWidth="1"/>
    <col min="2325" max="2325" width="16" style="42" bestFit="1" customWidth="1"/>
    <col min="2326" max="2326" width="10.33203125" style="42" customWidth="1"/>
    <col min="2327" max="2327" width="10.5546875" style="42" customWidth="1"/>
    <col min="2328" max="2328" width="16" style="42" bestFit="1" customWidth="1"/>
    <col min="2329" max="2329" width="11.33203125" style="42" bestFit="1" customWidth="1"/>
    <col min="2330" max="2330" width="10.109375" style="42" customWidth="1"/>
    <col min="2331" max="2561" width="9.109375" style="42"/>
    <col min="2562" max="2562" width="28.109375" style="42" bestFit="1" customWidth="1"/>
    <col min="2563" max="2563" width="9.109375" style="42"/>
    <col min="2564" max="2564" width="9.33203125" style="42" bestFit="1" customWidth="1"/>
    <col min="2565" max="2565" width="16.5546875" style="42" bestFit="1" customWidth="1"/>
    <col min="2566" max="2566" width="12.6640625" style="42" customWidth="1"/>
    <col min="2567" max="2567" width="16" style="42" bestFit="1" customWidth="1"/>
    <col min="2568" max="2568" width="11" style="42" customWidth="1"/>
    <col min="2569" max="2569" width="14" style="42" bestFit="1" customWidth="1"/>
    <col min="2570" max="2570" width="10.44140625" style="42" customWidth="1"/>
    <col min="2571" max="2571" width="14" style="42" bestFit="1" customWidth="1"/>
    <col min="2572" max="2572" width="9.33203125" style="42" bestFit="1" customWidth="1"/>
    <col min="2573" max="2573" width="17.6640625" style="42" bestFit="1" customWidth="1"/>
    <col min="2574" max="2574" width="9.33203125" style="42" bestFit="1" customWidth="1"/>
    <col min="2575" max="2575" width="17.6640625" style="42" bestFit="1" customWidth="1"/>
    <col min="2576" max="2576" width="9.33203125" style="42" bestFit="1" customWidth="1"/>
    <col min="2577" max="2577" width="16.5546875" style="42" bestFit="1" customWidth="1"/>
    <col min="2578" max="2578" width="9.33203125" style="42" bestFit="1" customWidth="1"/>
    <col min="2579" max="2579" width="16.5546875" style="42" bestFit="1" customWidth="1"/>
    <col min="2580" max="2580" width="10.33203125" style="42" bestFit="1" customWidth="1"/>
    <col min="2581" max="2581" width="16" style="42" bestFit="1" customWidth="1"/>
    <col min="2582" max="2582" width="10.33203125" style="42" customWidth="1"/>
    <col min="2583" max="2583" width="10.5546875" style="42" customWidth="1"/>
    <col min="2584" max="2584" width="16" style="42" bestFit="1" customWidth="1"/>
    <col min="2585" max="2585" width="11.33203125" style="42" bestFit="1" customWidth="1"/>
    <col min="2586" max="2586" width="10.109375" style="42" customWidth="1"/>
    <col min="2587" max="2817" width="9.109375" style="42"/>
    <col min="2818" max="2818" width="28.109375" style="42" bestFit="1" customWidth="1"/>
    <col min="2819" max="2819" width="9.109375" style="42"/>
    <col min="2820" max="2820" width="9.33203125" style="42" bestFit="1" customWidth="1"/>
    <col min="2821" max="2821" width="16.5546875" style="42" bestFit="1" customWidth="1"/>
    <col min="2822" max="2822" width="12.6640625" style="42" customWidth="1"/>
    <col min="2823" max="2823" width="16" style="42" bestFit="1" customWidth="1"/>
    <col min="2824" max="2824" width="11" style="42" customWidth="1"/>
    <col min="2825" max="2825" width="14" style="42" bestFit="1" customWidth="1"/>
    <col min="2826" max="2826" width="10.44140625" style="42" customWidth="1"/>
    <col min="2827" max="2827" width="14" style="42" bestFit="1" customWidth="1"/>
    <col min="2828" max="2828" width="9.33203125" style="42" bestFit="1" customWidth="1"/>
    <col min="2829" max="2829" width="17.6640625" style="42" bestFit="1" customWidth="1"/>
    <col min="2830" max="2830" width="9.33203125" style="42" bestFit="1" customWidth="1"/>
    <col min="2831" max="2831" width="17.6640625" style="42" bestFit="1" customWidth="1"/>
    <col min="2832" max="2832" width="9.33203125" style="42" bestFit="1" customWidth="1"/>
    <col min="2833" max="2833" width="16.5546875" style="42" bestFit="1" customWidth="1"/>
    <col min="2834" max="2834" width="9.33203125" style="42" bestFit="1" customWidth="1"/>
    <col min="2835" max="2835" width="16.5546875" style="42" bestFit="1" customWidth="1"/>
    <col min="2836" max="2836" width="10.33203125" style="42" bestFit="1" customWidth="1"/>
    <col min="2837" max="2837" width="16" style="42" bestFit="1" customWidth="1"/>
    <col min="2838" max="2838" width="10.33203125" style="42" customWidth="1"/>
    <col min="2839" max="2839" width="10.5546875" style="42" customWidth="1"/>
    <col min="2840" max="2840" width="16" style="42" bestFit="1" customWidth="1"/>
    <col min="2841" max="2841" width="11.33203125" style="42" bestFit="1" customWidth="1"/>
    <col min="2842" max="2842" width="10.109375" style="42" customWidth="1"/>
    <col min="2843" max="3073" width="9.109375" style="42"/>
    <col min="3074" max="3074" width="28.109375" style="42" bestFit="1" customWidth="1"/>
    <col min="3075" max="3075" width="9.109375" style="42"/>
    <col min="3076" max="3076" width="9.33203125" style="42" bestFit="1" customWidth="1"/>
    <col min="3077" max="3077" width="16.5546875" style="42" bestFit="1" customWidth="1"/>
    <col min="3078" max="3078" width="12.6640625" style="42" customWidth="1"/>
    <col min="3079" max="3079" width="16" style="42" bestFit="1" customWidth="1"/>
    <col min="3080" max="3080" width="11" style="42" customWidth="1"/>
    <col min="3081" max="3081" width="14" style="42" bestFit="1" customWidth="1"/>
    <col min="3082" max="3082" width="10.44140625" style="42" customWidth="1"/>
    <col min="3083" max="3083" width="14" style="42" bestFit="1" customWidth="1"/>
    <col min="3084" max="3084" width="9.33203125" style="42" bestFit="1" customWidth="1"/>
    <col min="3085" max="3085" width="17.6640625" style="42" bestFit="1" customWidth="1"/>
    <col min="3086" max="3086" width="9.33203125" style="42" bestFit="1" customWidth="1"/>
    <col min="3087" max="3087" width="17.6640625" style="42" bestFit="1" customWidth="1"/>
    <col min="3088" max="3088" width="9.33203125" style="42" bestFit="1" customWidth="1"/>
    <col min="3089" max="3089" width="16.5546875" style="42" bestFit="1" customWidth="1"/>
    <col min="3090" max="3090" width="9.33203125" style="42" bestFit="1" customWidth="1"/>
    <col min="3091" max="3091" width="16.5546875" style="42" bestFit="1" customWidth="1"/>
    <col min="3092" max="3092" width="10.33203125" style="42" bestFit="1" customWidth="1"/>
    <col min="3093" max="3093" width="16" style="42" bestFit="1" customWidth="1"/>
    <col min="3094" max="3094" width="10.33203125" style="42" customWidth="1"/>
    <col min="3095" max="3095" width="10.5546875" style="42" customWidth="1"/>
    <col min="3096" max="3096" width="16" style="42" bestFit="1" customWidth="1"/>
    <col min="3097" max="3097" width="11.33203125" style="42" bestFit="1" customWidth="1"/>
    <col min="3098" max="3098" width="10.109375" style="42" customWidth="1"/>
    <col min="3099" max="3329" width="9.109375" style="42"/>
    <col min="3330" max="3330" width="28.109375" style="42" bestFit="1" customWidth="1"/>
    <col min="3331" max="3331" width="9.109375" style="42"/>
    <col min="3332" max="3332" width="9.33203125" style="42" bestFit="1" customWidth="1"/>
    <col min="3333" max="3333" width="16.5546875" style="42" bestFit="1" customWidth="1"/>
    <col min="3334" max="3334" width="12.6640625" style="42" customWidth="1"/>
    <col min="3335" max="3335" width="16" style="42" bestFit="1" customWidth="1"/>
    <col min="3336" max="3336" width="11" style="42" customWidth="1"/>
    <col min="3337" max="3337" width="14" style="42" bestFit="1" customWidth="1"/>
    <col min="3338" max="3338" width="10.44140625" style="42" customWidth="1"/>
    <col min="3339" max="3339" width="14" style="42" bestFit="1" customWidth="1"/>
    <col min="3340" max="3340" width="9.33203125" style="42" bestFit="1" customWidth="1"/>
    <col min="3341" max="3341" width="17.6640625" style="42" bestFit="1" customWidth="1"/>
    <col min="3342" max="3342" width="9.33203125" style="42" bestFit="1" customWidth="1"/>
    <col min="3343" max="3343" width="17.6640625" style="42" bestFit="1" customWidth="1"/>
    <col min="3344" max="3344" width="9.33203125" style="42" bestFit="1" customWidth="1"/>
    <col min="3345" max="3345" width="16.5546875" style="42" bestFit="1" customWidth="1"/>
    <col min="3346" max="3346" width="9.33203125" style="42" bestFit="1" customWidth="1"/>
    <col min="3347" max="3347" width="16.5546875" style="42" bestFit="1" customWidth="1"/>
    <col min="3348" max="3348" width="10.33203125" style="42" bestFit="1" customWidth="1"/>
    <col min="3349" max="3349" width="16" style="42" bestFit="1" customWidth="1"/>
    <col min="3350" max="3350" width="10.33203125" style="42" customWidth="1"/>
    <col min="3351" max="3351" width="10.5546875" style="42" customWidth="1"/>
    <col min="3352" max="3352" width="16" style="42" bestFit="1" customWidth="1"/>
    <col min="3353" max="3353" width="11.33203125" style="42" bestFit="1" customWidth="1"/>
    <col min="3354" max="3354" width="10.109375" style="42" customWidth="1"/>
    <col min="3355" max="3585" width="9.109375" style="42"/>
    <col min="3586" max="3586" width="28.109375" style="42" bestFit="1" customWidth="1"/>
    <col min="3587" max="3587" width="9.109375" style="42"/>
    <col min="3588" max="3588" width="9.33203125" style="42" bestFit="1" customWidth="1"/>
    <col min="3589" max="3589" width="16.5546875" style="42" bestFit="1" customWidth="1"/>
    <col min="3590" max="3590" width="12.6640625" style="42" customWidth="1"/>
    <col min="3591" max="3591" width="16" style="42" bestFit="1" customWidth="1"/>
    <col min="3592" max="3592" width="11" style="42" customWidth="1"/>
    <col min="3593" max="3593" width="14" style="42" bestFit="1" customWidth="1"/>
    <col min="3594" max="3594" width="10.44140625" style="42" customWidth="1"/>
    <col min="3595" max="3595" width="14" style="42" bestFit="1" customWidth="1"/>
    <col min="3596" max="3596" width="9.33203125" style="42" bestFit="1" customWidth="1"/>
    <col min="3597" max="3597" width="17.6640625" style="42" bestFit="1" customWidth="1"/>
    <col min="3598" max="3598" width="9.33203125" style="42" bestFit="1" customWidth="1"/>
    <col min="3599" max="3599" width="17.6640625" style="42" bestFit="1" customWidth="1"/>
    <col min="3600" max="3600" width="9.33203125" style="42" bestFit="1" customWidth="1"/>
    <col min="3601" max="3601" width="16.5546875" style="42" bestFit="1" customWidth="1"/>
    <col min="3602" max="3602" width="9.33203125" style="42" bestFit="1" customWidth="1"/>
    <col min="3603" max="3603" width="16.5546875" style="42" bestFit="1" customWidth="1"/>
    <col min="3604" max="3604" width="10.33203125" style="42" bestFit="1" customWidth="1"/>
    <col min="3605" max="3605" width="16" style="42" bestFit="1" customWidth="1"/>
    <col min="3606" max="3606" width="10.33203125" style="42" customWidth="1"/>
    <col min="3607" max="3607" width="10.5546875" style="42" customWidth="1"/>
    <col min="3608" max="3608" width="16" style="42" bestFit="1" customWidth="1"/>
    <col min="3609" max="3609" width="11.33203125" style="42" bestFit="1" customWidth="1"/>
    <col min="3610" max="3610" width="10.109375" style="42" customWidth="1"/>
    <col min="3611" max="3841" width="9.109375" style="42"/>
    <col min="3842" max="3842" width="28.109375" style="42" bestFit="1" customWidth="1"/>
    <col min="3843" max="3843" width="9.109375" style="42"/>
    <col min="3844" max="3844" width="9.33203125" style="42" bestFit="1" customWidth="1"/>
    <col min="3845" max="3845" width="16.5546875" style="42" bestFit="1" customWidth="1"/>
    <col min="3846" max="3846" width="12.6640625" style="42" customWidth="1"/>
    <col min="3847" max="3847" width="16" style="42" bestFit="1" customWidth="1"/>
    <col min="3848" max="3848" width="11" style="42" customWidth="1"/>
    <col min="3849" max="3849" width="14" style="42" bestFit="1" customWidth="1"/>
    <col min="3850" max="3850" width="10.44140625" style="42" customWidth="1"/>
    <col min="3851" max="3851" width="14" style="42" bestFit="1" customWidth="1"/>
    <col min="3852" max="3852" width="9.33203125" style="42" bestFit="1" customWidth="1"/>
    <col min="3853" max="3853" width="17.6640625" style="42" bestFit="1" customWidth="1"/>
    <col min="3854" max="3854" width="9.33203125" style="42" bestFit="1" customWidth="1"/>
    <col min="3855" max="3855" width="17.6640625" style="42" bestFit="1" customWidth="1"/>
    <col min="3856" max="3856" width="9.33203125" style="42" bestFit="1" customWidth="1"/>
    <col min="3857" max="3857" width="16.5546875" style="42" bestFit="1" customWidth="1"/>
    <col min="3858" max="3858" width="9.33203125" style="42" bestFit="1" customWidth="1"/>
    <col min="3859" max="3859" width="16.5546875" style="42" bestFit="1" customWidth="1"/>
    <col min="3860" max="3860" width="10.33203125" style="42" bestFit="1" customWidth="1"/>
    <col min="3861" max="3861" width="16" style="42" bestFit="1" customWidth="1"/>
    <col min="3862" max="3862" width="10.33203125" style="42" customWidth="1"/>
    <col min="3863" max="3863" width="10.5546875" style="42" customWidth="1"/>
    <col min="3864" max="3864" width="16" style="42" bestFit="1" customWidth="1"/>
    <col min="3865" max="3865" width="11.33203125" style="42" bestFit="1" customWidth="1"/>
    <col min="3866" max="3866" width="10.109375" style="42" customWidth="1"/>
    <col min="3867" max="4097" width="9.109375" style="42"/>
    <col min="4098" max="4098" width="28.109375" style="42" bestFit="1" customWidth="1"/>
    <col min="4099" max="4099" width="9.109375" style="42"/>
    <col min="4100" max="4100" width="9.33203125" style="42" bestFit="1" customWidth="1"/>
    <col min="4101" max="4101" width="16.5546875" style="42" bestFit="1" customWidth="1"/>
    <col min="4102" max="4102" width="12.6640625" style="42" customWidth="1"/>
    <col min="4103" max="4103" width="16" style="42" bestFit="1" customWidth="1"/>
    <col min="4104" max="4104" width="11" style="42" customWidth="1"/>
    <col min="4105" max="4105" width="14" style="42" bestFit="1" customWidth="1"/>
    <col min="4106" max="4106" width="10.44140625" style="42" customWidth="1"/>
    <col min="4107" max="4107" width="14" style="42" bestFit="1" customWidth="1"/>
    <col min="4108" max="4108" width="9.33203125" style="42" bestFit="1" customWidth="1"/>
    <col min="4109" max="4109" width="17.6640625" style="42" bestFit="1" customWidth="1"/>
    <col min="4110" max="4110" width="9.33203125" style="42" bestFit="1" customWidth="1"/>
    <col min="4111" max="4111" width="17.6640625" style="42" bestFit="1" customWidth="1"/>
    <col min="4112" max="4112" width="9.33203125" style="42" bestFit="1" customWidth="1"/>
    <col min="4113" max="4113" width="16.5546875" style="42" bestFit="1" customWidth="1"/>
    <col min="4114" max="4114" width="9.33203125" style="42" bestFit="1" customWidth="1"/>
    <col min="4115" max="4115" width="16.5546875" style="42" bestFit="1" customWidth="1"/>
    <col min="4116" max="4116" width="10.33203125" style="42" bestFit="1" customWidth="1"/>
    <col min="4117" max="4117" width="16" style="42" bestFit="1" customWidth="1"/>
    <col min="4118" max="4118" width="10.33203125" style="42" customWidth="1"/>
    <col min="4119" max="4119" width="10.5546875" style="42" customWidth="1"/>
    <col min="4120" max="4120" width="16" style="42" bestFit="1" customWidth="1"/>
    <col min="4121" max="4121" width="11.33203125" style="42" bestFit="1" customWidth="1"/>
    <col min="4122" max="4122" width="10.109375" style="42" customWidth="1"/>
    <col min="4123" max="4353" width="9.109375" style="42"/>
    <col min="4354" max="4354" width="28.109375" style="42" bestFit="1" customWidth="1"/>
    <col min="4355" max="4355" width="9.109375" style="42"/>
    <col min="4356" max="4356" width="9.33203125" style="42" bestFit="1" customWidth="1"/>
    <col min="4357" max="4357" width="16.5546875" style="42" bestFit="1" customWidth="1"/>
    <col min="4358" max="4358" width="12.6640625" style="42" customWidth="1"/>
    <col min="4359" max="4359" width="16" style="42" bestFit="1" customWidth="1"/>
    <col min="4360" max="4360" width="11" style="42" customWidth="1"/>
    <col min="4361" max="4361" width="14" style="42" bestFit="1" customWidth="1"/>
    <col min="4362" max="4362" width="10.44140625" style="42" customWidth="1"/>
    <col min="4363" max="4363" width="14" style="42" bestFit="1" customWidth="1"/>
    <col min="4364" max="4364" width="9.33203125" style="42" bestFit="1" customWidth="1"/>
    <col min="4365" max="4365" width="17.6640625" style="42" bestFit="1" customWidth="1"/>
    <col min="4366" max="4366" width="9.33203125" style="42" bestFit="1" customWidth="1"/>
    <col min="4367" max="4367" width="17.6640625" style="42" bestFit="1" customWidth="1"/>
    <col min="4368" max="4368" width="9.33203125" style="42" bestFit="1" customWidth="1"/>
    <col min="4369" max="4369" width="16.5546875" style="42" bestFit="1" customWidth="1"/>
    <col min="4370" max="4370" width="9.33203125" style="42" bestFit="1" customWidth="1"/>
    <col min="4371" max="4371" width="16.5546875" style="42" bestFit="1" customWidth="1"/>
    <col min="4372" max="4372" width="10.33203125" style="42" bestFit="1" customWidth="1"/>
    <col min="4373" max="4373" width="16" style="42" bestFit="1" customWidth="1"/>
    <col min="4374" max="4374" width="10.33203125" style="42" customWidth="1"/>
    <col min="4375" max="4375" width="10.5546875" style="42" customWidth="1"/>
    <col min="4376" max="4376" width="16" style="42" bestFit="1" customWidth="1"/>
    <col min="4377" max="4377" width="11.33203125" style="42" bestFit="1" customWidth="1"/>
    <col min="4378" max="4378" width="10.109375" style="42" customWidth="1"/>
    <col min="4379" max="4609" width="9.109375" style="42"/>
    <col min="4610" max="4610" width="28.109375" style="42" bestFit="1" customWidth="1"/>
    <col min="4611" max="4611" width="9.109375" style="42"/>
    <col min="4612" max="4612" width="9.33203125" style="42" bestFit="1" customWidth="1"/>
    <col min="4613" max="4613" width="16.5546875" style="42" bestFit="1" customWidth="1"/>
    <col min="4614" max="4614" width="12.6640625" style="42" customWidth="1"/>
    <col min="4615" max="4615" width="16" style="42" bestFit="1" customWidth="1"/>
    <col min="4616" max="4616" width="11" style="42" customWidth="1"/>
    <col min="4617" max="4617" width="14" style="42" bestFit="1" customWidth="1"/>
    <col min="4618" max="4618" width="10.44140625" style="42" customWidth="1"/>
    <col min="4619" max="4619" width="14" style="42" bestFit="1" customWidth="1"/>
    <col min="4620" max="4620" width="9.33203125" style="42" bestFit="1" customWidth="1"/>
    <col min="4621" max="4621" width="17.6640625" style="42" bestFit="1" customWidth="1"/>
    <col min="4622" max="4622" width="9.33203125" style="42" bestFit="1" customWidth="1"/>
    <col min="4623" max="4623" width="17.6640625" style="42" bestFit="1" customWidth="1"/>
    <col min="4624" max="4624" width="9.33203125" style="42" bestFit="1" customWidth="1"/>
    <col min="4625" max="4625" width="16.5546875" style="42" bestFit="1" customWidth="1"/>
    <col min="4626" max="4626" width="9.33203125" style="42" bestFit="1" customWidth="1"/>
    <col min="4627" max="4627" width="16.5546875" style="42" bestFit="1" customWidth="1"/>
    <col min="4628" max="4628" width="10.33203125" style="42" bestFit="1" customWidth="1"/>
    <col min="4629" max="4629" width="16" style="42" bestFit="1" customWidth="1"/>
    <col min="4630" max="4630" width="10.33203125" style="42" customWidth="1"/>
    <col min="4631" max="4631" width="10.5546875" style="42" customWidth="1"/>
    <col min="4632" max="4632" width="16" style="42" bestFit="1" customWidth="1"/>
    <col min="4633" max="4633" width="11.33203125" style="42" bestFit="1" customWidth="1"/>
    <col min="4634" max="4634" width="10.109375" style="42" customWidth="1"/>
    <col min="4635" max="4865" width="9.109375" style="42"/>
    <col min="4866" max="4866" width="28.109375" style="42" bestFit="1" customWidth="1"/>
    <col min="4867" max="4867" width="9.109375" style="42"/>
    <col min="4868" max="4868" width="9.33203125" style="42" bestFit="1" customWidth="1"/>
    <col min="4869" max="4869" width="16.5546875" style="42" bestFit="1" customWidth="1"/>
    <col min="4870" max="4870" width="12.6640625" style="42" customWidth="1"/>
    <col min="4871" max="4871" width="16" style="42" bestFit="1" customWidth="1"/>
    <col min="4872" max="4872" width="11" style="42" customWidth="1"/>
    <col min="4873" max="4873" width="14" style="42" bestFit="1" customWidth="1"/>
    <col min="4874" max="4874" width="10.44140625" style="42" customWidth="1"/>
    <col min="4875" max="4875" width="14" style="42" bestFit="1" customWidth="1"/>
    <col min="4876" max="4876" width="9.33203125" style="42" bestFit="1" customWidth="1"/>
    <col min="4877" max="4877" width="17.6640625" style="42" bestFit="1" customWidth="1"/>
    <col min="4878" max="4878" width="9.33203125" style="42" bestFit="1" customWidth="1"/>
    <col min="4879" max="4879" width="17.6640625" style="42" bestFit="1" customWidth="1"/>
    <col min="4880" max="4880" width="9.33203125" style="42" bestFit="1" customWidth="1"/>
    <col min="4881" max="4881" width="16.5546875" style="42" bestFit="1" customWidth="1"/>
    <col min="4882" max="4882" width="9.33203125" style="42" bestFit="1" customWidth="1"/>
    <col min="4883" max="4883" width="16.5546875" style="42" bestFit="1" customWidth="1"/>
    <col min="4884" max="4884" width="10.33203125" style="42" bestFit="1" customWidth="1"/>
    <col min="4885" max="4885" width="16" style="42" bestFit="1" customWidth="1"/>
    <col min="4886" max="4886" width="10.33203125" style="42" customWidth="1"/>
    <col min="4887" max="4887" width="10.5546875" style="42" customWidth="1"/>
    <col min="4888" max="4888" width="16" style="42" bestFit="1" customWidth="1"/>
    <col min="4889" max="4889" width="11.33203125" style="42" bestFit="1" customWidth="1"/>
    <col min="4890" max="4890" width="10.109375" style="42" customWidth="1"/>
    <col min="4891" max="5121" width="9.109375" style="42"/>
    <col min="5122" max="5122" width="28.109375" style="42" bestFit="1" customWidth="1"/>
    <col min="5123" max="5123" width="9.109375" style="42"/>
    <col min="5124" max="5124" width="9.33203125" style="42" bestFit="1" customWidth="1"/>
    <col min="5125" max="5125" width="16.5546875" style="42" bestFit="1" customWidth="1"/>
    <col min="5126" max="5126" width="12.6640625" style="42" customWidth="1"/>
    <col min="5127" max="5127" width="16" style="42" bestFit="1" customWidth="1"/>
    <col min="5128" max="5128" width="11" style="42" customWidth="1"/>
    <col min="5129" max="5129" width="14" style="42" bestFit="1" customWidth="1"/>
    <col min="5130" max="5130" width="10.44140625" style="42" customWidth="1"/>
    <col min="5131" max="5131" width="14" style="42" bestFit="1" customWidth="1"/>
    <col min="5132" max="5132" width="9.33203125" style="42" bestFit="1" customWidth="1"/>
    <col min="5133" max="5133" width="17.6640625" style="42" bestFit="1" customWidth="1"/>
    <col min="5134" max="5134" width="9.33203125" style="42" bestFit="1" customWidth="1"/>
    <col min="5135" max="5135" width="17.6640625" style="42" bestFit="1" customWidth="1"/>
    <col min="5136" max="5136" width="9.33203125" style="42" bestFit="1" customWidth="1"/>
    <col min="5137" max="5137" width="16.5546875" style="42" bestFit="1" customWidth="1"/>
    <col min="5138" max="5138" width="9.33203125" style="42" bestFit="1" customWidth="1"/>
    <col min="5139" max="5139" width="16.5546875" style="42" bestFit="1" customWidth="1"/>
    <col min="5140" max="5140" width="10.33203125" style="42" bestFit="1" customWidth="1"/>
    <col min="5141" max="5141" width="16" style="42" bestFit="1" customWidth="1"/>
    <col min="5142" max="5142" width="10.33203125" style="42" customWidth="1"/>
    <col min="5143" max="5143" width="10.5546875" style="42" customWidth="1"/>
    <col min="5144" max="5144" width="16" style="42" bestFit="1" customWidth="1"/>
    <col min="5145" max="5145" width="11.33203125" style="42" bestFit="1" customWidth="1"/>
    <col min="5146" max="5146" width="10.109375" style="42" customWidth="1"/>
    <col min="5147" max="5377" width="9.109375" style="42"/>
    <col min="5378" max="5378" width="28.109375" style="42" bestFit="1" customWidth="1"/>
    <col min="5379" max="5379" width="9.109375" style="42"/>
    <col min="5380" max="5380" width="9.33203125" style="42" bestFit="1" customWidth="1"/>
    <col min="5381" max="5381" width="16.5546875" style="42" bestFit="1" customWidth="1"/>
    <col min="5382" max="5382" width="12.6640625" style="42" customWidth="1"/>
    <col min="5383" max="5383" width="16" style="42" bestFit="1" customWidth="1"/>
    <col min="5384" max="5384" width="11" style="42" customWidth="1"/>
    <col min="5385" max="5385" width="14" style="42" bestFit="1" customWidth="1"/>
    <col min="5386" max="5386" width="10.44140625" style="42" customWidth="1"/>
    <col min="5387" max="5387" width="14" style="42" bestFit="1" customWidth="1"/>
    <col min="5388" max="5388" width="9.33203125" style="42" bestFit="1" customWidth="1"/>
    <col min="5389" max="5389" width="17.6640625" style="42" bestFit="1" customWidth="1"/>
    <col min="5390" max="5390" width="9.33203125" style="42" bestFit="1" customWidth="1"/>
    <col min="5391" max="5391" width="17.6640625" style="42" bestFit="1" customWidth="1"/>
    <col min="5392" max="5392" width="9.33203125" style="42" bestFit="1" customWidth="1"/>
    <col min="5393" max="5393" width="16.5546875" style="42" bestFit="1" customWidth="1"/>
    <col min="5394" max="5394" width="9.33203125" style="42" bestFit="1" customWidth="1"/>
    <col min="5395" max="5395" width="16.5546875" style="42" bestFit="1" customWidth="1"/>
    <col min="5396" max="5396" width="10.33203125" style="42" bestFit="1" customWidth="1"/>
    <col min="5397" max="5397" width="16" style="42" bestFit="1" customWidth="1"/>
    <col min="5398" max="5398" width="10.33203125" style="42" customWidth="1"/>
    <col min="5399" max="5399" width="10.5546875" style="42" customWidth="1"/>
    <col min="5400" max="5400" width="16" style="42" bestFit="1" customWidth="1"/>
    <col min="5401" max="5401" width="11.33203125" style="42" bestFit="1" customWidth="1"/>
    <col min="5402" max="5402" width="10.109375" style="42" customWidth="1"/>
    <col min="5403" max="5633" width="9.109375" style="42"/>
    <col min="5634" max="5634" width="28.109375" style="42" bestFit="1" customWidth="1"/>
    <col min="5635" max="5635" width="9.109375" style="42"/>
    <col min="5636" max="5636" width="9.33203125" style="42" bestFit="1" customWidth="1"/>
    <col min="5637" max="5637" width="16.5546875" style="42" bestFit="1" customWidth="1"/>
    <col min="5638" max="5638" width="12.6640625" style="42" customWidth="1"/>
    <col min="5639" max="5639" width="16" style="42" bestFit="1" customWidth="1"/>
    <col min="5640" max="5640" width="11" style="42" customWidth="1"/>
    <col min="5641" max="5641" width="14" style="42" bestFit="1" customWidth="1"/>
    <col min="5642" max="5642" width="10.44140625" style="42" customWidth="1"/>
    <col min="5643" max="5643" width="14" style="42" bestFit="1" customWidth="1"/>
    <col min="5644" max="5644" width="9.33203125" style="42" bestFit="1" customWidth="1"/>
    <col min="5645" max="5645" width="17.6640625" style="42" bestFit="1" customWidth="1"/>
    <col min="5646" max="5646" width="9.33203125" style="42" bestFit="1" customWidth="1"/>
    <col min="5647" max="5647" width="17.6640625" style="42" bestFit="1" customWidth="1"/>
    <col min="5648" max="5648" width="9.33203125" style="42" bestFit="1" customWidth="1"/>
    <col min="5649" max="5649" width="16.5546875" style="42" bestFit="1" customWidth="1"/>
    <col min="5650" max="5650" width="9.33203125" style="42" bestFit="1" customWidth="1"/>
    <col min="5651" max="5651" width="16.5546875" style="42" bestFit="1" customWidth="1"/>
    <col min="5652" max="5652" width="10.33203125" style="42" bestFit="1" customWidth="1"/>
    <col min="5653" max="5653" width="16" style="42" bestFit="1" customWidth="1"/>
    <col min="5654" max="5654" width="10.33203125" style="42" customWidth="1"/>
    <col min="5655" max="5655" width="10.5546875" style="42" customWidth="1"/>
    <col min="5656" max="5656" width="16" style="42" bestFit="1" customWidth="1"/>
    <col min="5657" max="5657" width="11.33203125" style="42" bestFit="1" customWidth="1"/>
    <col min="5658" max="5658" width="10.109375" style="42" customWidth="1"/>
    <col min="5659" max="5889" width="9.109375" style="42"/>
    <col min="5890" max="5890" width="28.109375" style="42" bestFit="1" customWidth="1"/>
    <col min="5891" max="5891" width="9.109375" style="42"/>
    <col min="5892" max="5892" width="9.33203125" style="42" bestFit="1" customWidth="1"/>
    <col min="5893" max="5893" width="16.5546875" style="42" bestFit="1" customWidth="1"/>
    <col min="5894" max="5894" width="12.6640625" style="42" customWidth="1"/>
    <col min="5895" max="5895" width="16" style="42" bestFit="1" customWidth="1"/>
    <col min="5896" max="5896" width="11" style="42" customWidth="1"/>
    <col min="5897" max="5897" width="14" style="42" bestFit="1" customWidth="1"/>
    <col min="5898" max="5898" width="10.44140625" style="42" customWidth="1"/>
    <col min="5899" max="5899" width="14" style="42" bestFit="1" customWidth="1"/>
    <col min="5900" max="5900" width="9.33203125" style="42" bestFit="1" customWidth="1"/>
    <col min="5901" max="5901" width="17.6640625" style="42" bestFit="1" customWidth="1"/>
    <col min="5902" max="5902" width="9.33203125" style="42" bestFit="1" customWidth="1"/>
    <col min="5903" max="5903" width="17.6640625" style="42" bestFit="1" customWidth="1"/>
    <col min="5904" max="5904" width="9.33203125" style="42" bestFit="1" customWidth="1"/>
    <col min="5905" max="5905" width="16.5546875" style="42" bestFit="1" customWidth="1"/>
    <col min="5906" max="5906" width="9.33203125" style="42" bestFit="1" customWidth="1"/>
    <col min="5907" max="5907" width="16.5546875" style="42" bestFit="1" customWidth="1"/>
    <col min="5908" max="5908" width="10.33203125" style="42" bestFit="1" customWidth="1"/>
    <col min="5909" max="5909" width="16" style="42" bestFit="1" customWidth="1"/>
    <col min="5910" max="5910" width="10.33203125" style="42" customWidth="1"/>
    <col min="5911" max="5911" width="10.5546875" style="42" customWidth="1"/>
    <col min="5912" max="5912" width="16" style="42" bestFit="1" customWidth="1"/>
    <col min="5913" max="5913" width="11.33203125" style="42" bestFit="1" customWidth="1"/>
    <col min="5914" max="5914" width="10.109375" style="42" customWidth="1"/>
    <col min="5915" max="6145" width="9.109375" style="42"/>
    <col min="6146" max="6146" width="28.109375" style="42" bestFit="1" customWidth="1"/>
    <col min="6147" max="6147" width="9.109375" style="42"/>
    <col min="6148" max="6148" width="9.33203125" style="42" bestFit="1" customWidth="1"/>
    <col min="6149" max="6149" width="16.5546875" style="42" bestFit="1" customWidth="1"/>
    <col min="6150" max="6150" width="12.6640625" style="42" customWidth="1"/>
    <col min="6151" max="6151" width="16" style="42" bestFit="1" customWidth="1"/>
    <col min="6152" max="6152" width="11" style="42" customWidth="1"/>
    <col min="6153" max="6153" width="14" style="42" bestFit="1" customWidth="1"/>
    <col min="6154" max="6154" width="10.44140625" style="42" customWidth="1"/>
    <col min="6155" max="6155" width="14" style="42" bestFit="1" customWidth="1"/>
    <col min="6156" max="6156" width="9.33203125" style="42" bestFit="1" customWidth="1"/>
    <col min="6157" max="6157" width="17.6640625" style="42" bestFit="1" customWidth="1"/>
    <col min="6158" max="6158" width="9.33203125" style="42" bestFit="1" customWidth="1"/>
    <col min="6159" max="6159" width="17.6640625" style="42" bestFit="1" customWidth="1"/>
    <col min="6160" max="6160" width="9.33203125" style="42" bestFit="1" customWidth="1"/>
    <col min="6161" max="6161" width="16.5546875" style="42" bestFit="1" customWidth="1"/>
    <col min="6162" max="6162" width="9.33203125" style="42" bestFit="1" customWidth="1"/>
    <col min="6163" max="6163" width="16.5546875" style="42" bestFit="1" customWidth="1"/>
    <col min="6164" max="6164" width="10.33203125" style="42" bestFit="1" customWidth="1"/>
    <col min="6165" max="6165" width="16" style="42" bestFit="1" customWidth="1"/>
    <col min="6166" max="6166" width="10.33203125" style="42" customWidth="1"/>
    <col min="6167" max="6167" width="10.5546875" style="42" customWidth="1"/>
    <col min="6168" max="6168" width="16" style="42" bestFit="1" customWidth="1"/>
    <col min="6169" max="6169" width="11.33203125" style="42" bestFit="1" customWidth="1"/>
    <col min="6170" max="6170" width="10.109375" style="42" customWidth="1"/>
    <col min="6171" max="6401" width="9.109375" style="42"/>
    <col min="6402" max="6402" width="28.109375" style="42" bestFit="1" customWidth="1"/>
    <col min="6403" max="6403" width="9.109375" style="42"/>
    <col min="6404" max="6404" width="9.33203125" style="42" bestFit="1" customWidth="1"/>
    <col min="6405" max="6405" width="16.5546875" style="42" bestFit="1" customWidth="1"/>
    <col min="6406" max="6406" width="12.6640625" style="42" customWidth="1"/>
    <col min="6407" max="6407" width="16" style="42" bestFit="1" customWidth="1"/>
    <col min="6408" max="6408" width="11" style="42" customWidth="1"/>
    <col min="6409" max="6409" width="14" style="42" bestFit="1" customWidth="1"/>
    <col min="6410" max="6410" width="10.44140625" style="42" customWidth="1"/>
    <col min="6411" max="6411" width="14" style="42" bestFit="1" customWidth="1"/>
    <col min="6412" max="6412" width="9.33203125" style="42" bestFit="1" customWidth="1"/>
    <col min="6413" max="6413" width="17.6640625" style="42" bestFit="1" customWidth="1"/>
    <col min="6414" max="6414" width="9.33203125" style="42" bestFit="1" customWidth="1"/>
    <col min="6415" max="6415" width="17.6640625" style="42" bestFit="1" customWidth="1"/>
    <col min="6416" max="6416" width="9.33203125" style="42" bestFit="1" customWidth="1"/>
    <col min="6417" max="6417" width="16.5546875" style="42" bestFit="1" customWidth="1"/>
    <col min="6418" max="6418" width="9.33203125" style="42" bestFit="1" customWidth="1"/>
    <col min="6419" max="6419" width="16.5546875" style="42" bestFit="1" customWidth="1"/>
    <col min="6420" max="6420" width="10.33203125" style="42" bestFit="1" customWidth="1"/>
    <col min="6421" max="6421" width="16" style="42" bestFit="1" customWidth="1"/>
    <col min="6422" max="6422" width="10.33203125" style="42" customWidth="1"/>
    <col min="6423" max="6423" width="10.5546875" style="42" customWidth="1"/>
    <col min="6424" max="6424" width="16" style="42" bestFit="1" customWidth="1"/>
    <col min="6425" max="6425" width="11.33203125" style="42" bestFit="1" customWidth="1"/>
    <col min="6426" max="6426" width="10.109375" style="42" customWidth="1"/>
    <col min="6427" max="6657" width="9.109375" style="42"/>
    <col min="6658" max="6658" width="28.109375" style="42" bestFit="1" customWidth="1"/>
    <col min="6659" max="6659" width="9.109375" style="42"/>
    <col min="6660" max="6660" width="9.33203125" style="42" bestFit="1" customWidth="1"/>
    <col min="6661" max="6661" width="16.5546875" style="42" bestFit="1" customWidth="1"/>
    <col min="6662" max="6662" width="12.6640625" style="42" customWidth="1"/>
    <col min="6663" max="6663" width="16" style="42" bestFit="1" customWidth="1"/>
    <col min="6664" max="6664" width="11" style="42" customWidth="1"/>
    <col min="6665" max="6665" width="14" style="42" bestFit="1" customWidth="1"/>
    <col min="6666" max="6666" width="10.44140625" style="42" customWidth="1"/>
    <col min="6667" max="6667" width="14" style="42" bestFit="1" customWidth="1"/>
    <col min="6668" max="6668" width="9.33203125" style="42" bestFit="1" customWidth="1"/>
    <col min="6669" max="6669" width="17.6640625" style="42" bestFit="1" customWidth="1"/>
    <col min="6670" max="6670" width="9.33203125" style="42" bestFit="1" customWidth="1"/>
    <col min="6671" max="6671" width="17.6640625" style="42" bestFit="1" customWidth="1"/>
    <col min="6672" max="6672" width="9.33203125" style="42" bestFit="1" customWidth="1"/>
    <col min="6673" max="6673" width="16.5546875" style="42" bestFit="1" customWidth="1"/>
    <col min="6674" max="6674" width="9.33203125" style="42" bestFit="1" customWidth="1"/>
    <col min="6675" max="6675" width="16.5546875" style="42" bestFit="1" customWidth="1"/>
    <col min="6676" max="6676" width="10.33203125" style="42" bestFit="1" customWidth="1"/>
    <col min="6677" max="6677" width="16" style="42" bestFit="1" customWidth="1"/>
    <col min="6678" max="6678" width="10.33203125" style="42" customWidth="1"/>
    <col min="6679" max="6679" width="10.5546875" style="42" customWidth="1"/>
    <col min="6680" max="6680" width="16" style="42" bestFit="1" customWidth="1"/>
    <col min="6681" max="6681" width="11.33203125" style="42" bestFit="1" customWidth="1"/>
    <col min="6682" max="6682" width="10.109375" style="42" customWidth="1"/>
    <col min="6683" max="6913" width="9.109375" style="42"/>
    <col min="6914" max="6914" width="28.109375" style="42" bestFit="1" customWidth="1"/>
    <col min="6915" max="6915" width="9.109375" style="42"/>
    <col min="6916" max="6916" width="9.33203125" style="42" bestFit="1" customWidth="1"/>
    <col min="6917" max="6917" width="16.5546875" style="42" bestFit="1" customWidth="1"/>
    <col min="6918" max="6918" width="12.6640625" style="42" customWidth="1"/>
    <col min="6919" max="6919" width="16" style="42" bestFit="1" customWidth="1"/>
    <col min="6920" max="6920" width="11" style="42" customWidth="1"/>
    <col min="6921" max="6921" width="14" style="42" bestFit="1" customWidth="1"/>
    <col min="6922" max="6922" width="10.44140625" style="42" customWidth="1"/>
    <col min="6923" max="6923" width="14" style="42" bestFit="1" customWidth="1"/>
    <col min="6924" max="6924" width="9.33203125" style="42" bestFit="1" customWidth="1"/>
    <col min="6925" max="6925" width="17.6640625" style="42" bestFit="1" customWidth="1"/>
    <col min="6926" max="6926" width="9.33203125" style="42" bestFit="1" customWidth="1"/>
    <col min="6927" max="6927" width="17.6640625" style="42" bestFit="1" customWidth="1"/>
    <col min="6928" max="6928" width="9.33203125" style="42" bestFit="1" customWidth="1"/>
    <col min="6929" max="6929" width="16.5546875" style="42" bestFit="1" customWidth="1"/>
    <col min="6930" max="6930" width="9.33203125" style="42" bestFit="1" customWidth="1"/>
    <col min="6931" max="6931" width="16.5546875" style="42" bestFit="1" customWidth="1"/>
    <col min="6932" max="6932" width="10.33203125" style="42" bestFit="1" customWidth="1"/>
    <col min="6933" max="6933" width="16" style="42" bestFit="1" customWidth="1"/>
    <col min="6934" max="6934" width="10.33203125" style="42" customWidth="1"/>
    <col min="6935" max="6935" width="10.5546875" style="42" customWidth="1"/>
    <col min="6936" max="6936" width="16" style="42" bestFit="1" customWidth="1"/>
    <col min="6937" max="6937" width="11.33203125" style="42" bestFit="1" customWidth="1"/>
    <col min="6938" max="6938" width="10.109375" style="42" customWidth="1"/>
    <col min="6939" max="7169" width="9.109375" style="42"/>
    <col min="7170" max="7170" width="28.109375" style="42" bestFit="1" customWidth="1"/>
    <col min="7171" max="7171" width="9.109375" style="42"/>
    <col min="7172" max="7172" width="9.33203125" style="42" bestFit="1" customWidth="1"/>
    <col min="7173" max="7173" width="16.5546875" style="42" bestFit="1" customWidth="1"/>
    <col min="7174" max="7174" width="12.6640625" style="42" customWidth="1"/>
    <col min="7175" max="7175" width="16" style="42" bestFit="1" customWidth="1"/>
    <col min="7176" max="7176" width="11" style="42" customWidth="1"/>
    <col min="7177" max="7177" width="14" style="42" bestFit="1" customWidth="1"/>
    <col min="7178" max="7178" width="10.44140625" style="42" customWidth="1"/>
    <col min="7179" max="7179" width="14" style="42" bestFit="1" customWidth="1"/>
    <col min="7180" max="7180" width="9.33203125" style="42" bestFit="1" customWidth="1"/>
    <col min="7181" max="7181" width="17.6640625" style="42" bestFit="1" customWidth="1"/>
    <col min="7182" max="7182" width="9.33203125" style="42" bestFit="1" customWidth="1"/>
    <col min="7183" max="7183" width="17.6640625" style="42" bestFit="1" customWidth="1"/>
    <col min="7184" max="7184" width="9.33203125" style="42" bestFit="1" customWidth="1"/>
    <col min="7185" max="7185" width="16.5546875" style="42" bestFit="1" customWidth="1"/>
    <col min="7186" max="7186" width="9.33203125" style="42" bestFit="1" customWidth="1"/>
    <col min="7187" max="7187" width="16.5546875" style="42" bestFit="1" customWidth="1"/>
    <col min="7188" max="7188" width="10.33203125" style="42" bestFit="1" customWidth="1"/>
    <col min="7189" max="7189" width="16" style="42" bestFit="1" customWidth="1"/>
    <col min="7190" max="7190" width="10.33203125" style="42" customWidth="1"/>
    <col min="7191" max="7191" width="10.5546875" style="42" customWidth="1"/>
    <col min="7192" max="7192" width="16" style="42" bestFit="1" customWidth="1"/>
    <col min="7193" max="7193" width="11.33203125" style="42" bestFit="1" customWidth="1"/>
    <col min="7194" max="7194" width="10.109375" style="42" customWidth="1"/>
    <col min="7195" max="7425" width="9.109375" style="42"/>
    <col min="7426" max="7426" width="28.109375" style="42" bestFit="1" customWidth="1"/>
    <col min="7427" max="7427" width="9.109375" style="42"/>
    <col min="7428" max="7428" width="9.33203125" style="42" bestFit="1" customWidth="1"/>
    <col min="7429" max="7429" width="16.5546875" style="42" bestFit="1" customWidth="1"/>
    <col min="7430" max="7430" width="12.6640625" style="42" customWidth="1"/>
    <col min="7431" max="7431" width="16" style="42" bestFit="1" customWidth="1"/>
    <col min="7432" max="7432" width="11" style="42" customWidth="1"/>
    <col min="7433" max="7433" width="14" style="42" bestFit="1" customWidth="1"/>
    <col min="7434" max="7434" width="10.44140625" style="42" customWidth="1"/>
    <col min="7435" max="7435" width="14" style="42" bestFit="1" customWidth="1"/>
    <col min="7436" max="7436" width="9.33203125" style="42" bestFit="1" customWidth="1"/>
    <col min="7437" max="7437" width="17.6640625" style="42" bestFit="1" customWidth="1"/>
    <col min="7438" max="7438" width="9.33203125" style="42" bestFit="1" customWidth="1"/>
    <col min="7439" max="7439" width="17.6640625" style="42" bestFit="1" customWidth="1"/>
    <col min="7440" max="7440" width="9.33203125" style="42" bestFit="1" customWidth="1"/>
    <col min="7441" max="7441" width="16.5546875" style="42" bestFit="1" customWidth="1"/>
    <col min="7442" max="7442" width="9.33203125" style="42" bestFit="1" customWidth="1"/>
    <col min="7443" max="7443" width="16.5546875" style="42" bestFit="1" customWidth="1"/>
    <col min="7444" max="7444" width="10.33203125" style="42" bestFit="1" customWidth="1"/>
    <col min="7445" max="7445" width="16" style="42" bestFit="1" customWidth="1"/>
    <col min="7446" max="7446" width="10.33203125" style="42" customWidth="1"/>
    <col min="7447" max="7447" width="10.5546875" style="42" customWidth="1"/>
    <col min="7448" max="7448" width="16" style="42" bestFit="1" customWidth="1"/>
    <col min="7449" max="7449" width="11.33203125" style="42" bestFit="1" customWidth="1"/>
    <col min="7450" max="7450" width="10.109375" style="42" customWidth="1"/>
    <col min="7451" max="7681" width="9.109375" style="42"/>
    <col min="7682" max="7682" width="28.109375" style="42" bestFit="1" customWidth="1"/>
    <col min="7683" max="7683" width="9.109375" style="42"/>
    <col min="7684" max="7684" width="9.33203125" style="42" bestFit="1" customWidth="1"/>
    <col min="7685" max="7685" width="16.5546875" style="42" bestFit="1" customWidth="1"/>
    <col min="7686" max="7686" width="12.6640625" style="42" customWidth="1"/>
    <col min="7687" max="7687" width="16" style="42" bestFit="1" customWidth="1"/>
    <col min="7688" max="7688" width="11" style="42" customWidth="1"/>
    <col min="7689" max="7689" width="14" style="42" bestFit="1" customWidth="1"/>
    <col min="7690" max="7690" width="10.44140625" style="42" customWidth="1"/>
    <col min="7691" max="7691" width="14" style="42" bestFit="1" customWidth="1"/>
    <col min="7692" max="7692" width="9.33203125" style="42" bestFit="1" customWidth="1"/>
    <col min="7693" max="7693" width="17.6640625" style="42" bestFit="1" customWidth="1"/>
    <col min="7694" max="7694" width="9.33203125" style="42" bestFit="1" customWidth="1"/>
    <col min="7695" max="7695" width="17.6640625" style="42" bestFit="1" customWidth="1"/>
    <col min="7696" max="7696" width="9.33203125" style="42" bestFit="1" customWidth="1"/>
    <col min="7697" max="7697" width="16.5546875" style="42" bestFit="1" customWidth="1"/>
    <col min="7698" max="7698" width="9.33203125" style="42" bestFit="1" customWidth="1"/>
    <col min="7699" max="7699" width="16.5546875" style="42" bestFit="1" customWidth="1"/>
    <col min="7700" max="7700" width="10.33203125" style="42" bestFit="1" customWidth="1"/>
    <col min="7701" max="7701" width="16" style="42" bestFit="1" customWidth="1"/>
    <col min="7702" max="7702" width="10.33203125" style="42" customWidth="1"/>
    <col min="7703" max="7703" width="10.5546875" style="42" customWidth="1"/>
    <col min="7704" max="7704" width="16" style="42" bestFit="1" customWidth="1"/>
    <col min="7705" max="7705" width="11.33203125" style="42" bestFit="1" customWidth="1"/>
    <col min="7706" max="7706" width="10.109375" style="42" customWidth="1"/>
    <col min="7707" max="7937" width="9.109375" style="42"/>
    <col min="7938" max="7938" width="28.109375" style="42" bestFit="1" customWidth="1"/>
    <col min="7939" max="7939" width="9.109375" style="42"/>
    <col min="7940" max="7940" width="9.33203125" style="42" bestFit="1" customWidth="1"/>
    <col min="7941" max="7941" width="16.5546875" style="42" bestFit="1" customWidth="1"/>
    <col min="7942" max="7942" width="12.6640625" style="42" customWidth="1"/>
    <col min="7943" max="7943" width="16" style="42" bestFit="1" customWidth="1"/>
    <col min="7944" max="7944" width="11" style="42" customWidth="1"/>
    <col min="7945" max="7945" width="14" style="42" bestFit="1" customWidth="1"/>
    <col min="7946" max="7946" width="10.44140625" style="42" customWidth="1"/>
    <col min="7947" max="7947" width="14" style="42" bestFit="1" customWidth="1"/>
    <col min="7948" max="7948" width="9.33203125" style="42" bestFit="1" customWidth="1"/>
    <col min="7949" max="7949" width="17.6640625" style="42" bestFit="1" customWidth="1"/>
    <col min="7950" max="7950" width="9.33203125" style="42" bestFit="1" customWidth="1"/>
    <col min="7951" max="7951" width="17.6640625" style="42" bestFit="1" customWidth="1"/>
    <col min="7952" max="7952" width="9.33203125" style="42" bestFit="1" customWidth="1"/>
    <col min="7953" max="7953" width="16.5546875" style="42" bestFit="1" customWidth="1"/>
    <col min="7954" max="7954" width="9.33203125" style="42" bestFit="1" customWidth="1"/>
    <col min="7955" max="7955" width="16.5546875" style="42" bestFit="1" customWidth="1"/>
    <col min="7956" max="7956" width="10.33203125" style="42" bestFit="1" customWidth="1"/>
    <col min="7957" max="7957" width="16" style="42" bestFit="1" customWidth="1"/>
    <col min="7958" max="7958" width="10.33203125" style="42" customWidth="1"/>
    <col min="7959" max="7959" width="10.5546875" style="42" customWidth="1"/>
    <col min="7960" max="7960" width="16" style="42" bestFit="1" customWidth="1"/>
    <col min="7961" max="7961" width="11.33203125" style="42" bestFit="1" customWidth="1"/>
    <col min="7962" max="7962" width="10.109375" style="42" customWidth="1"/>
    <col min="7963" max="8193" width="9.109375" style="42"/>
    <col min="8194" max="8194" width="28.109375" style="42" bestFit="1" customWidth="1"/>
    <col min="8195" max="8195" width="9.109375" style="42"/>
    <col min="8196" max="8196" width="9.33203125" style="42" bestFit="1" customWidth="1"/>
    <col min="8197" max="8197" width="16.5546875" style="42" bestFit="1" customWidth="1"/>
    <col min="8198" max="8198" width="12.6640625" style="42" customWidth="1"/>
    <col min="8199" max="8199" width="16" style="42" bestFit="1" customWidth="1"/>
    <col min="8200" max="8200" width="11" style="42" customWidth="1"/>
    <col min="8201" max="8201" width="14" style="42" bestFit="1" customWidth="1"/>
    <col min="8202" max="8202" width="10.44140625" style="42" customWidth="1"/>
    <col min="8203" max="8203" width="14" style="42" bestFit="1" customWidth="1"/>
    <col min="8204" max="8204" width="9.33203125" style="42" bestFit="1" customWidth="1"/>
    <col min="8205" max="8205" width="17.6640625" style="42" bestFit="1" customWidth="1"/>
    <col min="8206" max="8206" width="9.33203125" style="42" bestFit="1" customWidth="1"/>
    <col min="8207" max="8207" width="17.6640625" style="42" bestFit="1" customWidth="1"/>
    <col min="8208" max="8208" width="9.33203125" style="42" bestFit="1" customWidth="1"/>
    <col min="8209" max="8209" width="16.5546875" style="42" bestFit="1" customWidth="1"/>
    <col min="8210" max="8210" width="9.33203125" style="42" bestFit="1" customWidth="1"/>
    <col min="8211" max="8211" width="16.5546875" style="42" bestFit="1" customWidth="1"/>
    <col min="8212" max="8212" width="10.33203125" style="42" bestFit="1" customWidth="1"/>
    <col min="8213" max="8213" width="16" style="42" bestFit="1" customWidth="1"/>
    <col min="8214" max="8214" width="10.33203125" style="42" customWidth="1"/>
    <col min="8215" max="8215" width="10.5546875" style="42" customWidth="1"/>
    <col min="8216" max="8216" width="16" style="42" bestFit="1" customWidth="1"/>
    <col min="8217" max="8217" width="11.33203125" style="42" bestFit="1" customWidth="1"/>
    <col min="8218" max="8218" width="10.109375" style="42" customWidth="1"/>
    <col min="8219" max="8449" width="9.109375" style="42"/>
    <col min="8450" max="8450" width="28.109375" style="42" bestFit="1" customWidth="1"/>
    <col min="8451" max="8451" width="9.109375" style="42"/>
    <col min="8452" max="8452" width="9.33203125" style="42" bestFit="1" customWidth="1"/>
    <col min="8453" max="8453" width="16.5546875" style="42" bestFit="1" customWidth="1"/>
    <col min="8454" max="8454" width="12.6640625" style="42" customWidth="1"/>
    <col min="8455" max="8455" width="16" style="42" bestFit="1" customWidth="1"/>
    <col min="8456" max="8456" width="11" style="42" customWidth="1"/>
    <col min="8457" max="8457" width="14" style="42" bestFit="1" customWidth="1"/>
    <col min="8458" max="8458" width="10.44140625" style="42" customWidth="1"/>
    <col min="8459" max="8459" width="14" style="42" bestFit="1" customWidth="1"/>
    <col min="8460" max="8460" width="9.33203125" style="42" bestFit="1" customWidth="1"/>
    <col min="8461" max="8461" width="17.6640625" style="42" bestFit="1" customWidth="1"/>
    <col min="8462" max="8462" width="9.33203125" style="42" bestFit="1" customWidth="1"/>
    <col min="8463" max="8463" width="17.6640625" style="42" bestFit="1" customWidth="1"/>
    <col min="8464" max="8464" width="9.33203125" style="42" bestFit="1" customWidth="1"/>
    <col min="8465" max="8465" width="16.5546875" style="42" bestFit="1" customWidth="1"/>
    <col min="8466" max="8466" width="9.33203125" style="42" bestFit="1" customWidth="1"/>
    <col min="8467" max="8467" width="16.5546875" style="42" bestFit="1" customWidth="1"/>
    <col min="8468" max="8468" width="10.33203125" style="42" bestFit="1" customWidth="1"/>
    <col min="8469" max="8469" width="16" style="42" bestFit="1" customWidth="1"/>
    <col min="8470" max="8470" width="10.33203125" style="42" customWidth="1"/>
    <col min="8471" max="8471" width="10.5546875" style="42" customWidth="1"/>
    <col min="8472" max="8472" width="16" style="42" bestFit="1" customWidth="1"/>
    <col min="8473" max="8473" width="11.33203125" style="42" bestFit="1" customWidth="1"/>
    <col min="8474" max="8474" width="10.109375" style="42" customWidth="1"/>
    <col min="8475" max="8705" width="9.109375" style="42"/>
    <col min="8706" max="8706" width="28.109375" style="42" bestFit="1" customWidth="1"/>
    <col min="8707" max="8707" width="9.109375" style="42"/>
    <col min="8708" max="8708" width="9.33203125" style="42" bestFit="1" customWidth="1"/>
    <col min="8709" max="8709" width="16.5546875" style="42" bestFit="1" customWidth="1"/>
    <col min="8710" max="8710" width="12.6640625" style="42" customWidth="1"/>
    <col min="8711" max="8711" width="16" style="42" bestFit="1" customWidth="1"/>
    <col min="8712" max="8712" width="11" style="42" customWidth="1"/>
    <col min="8713" max="8713" width="14" style="42" bestFit="1" customWidth="1"/>
    <col min="8714" max="8714" width="10.44140625" style="42" customWidth="1"/>
    <col min="8715" max="8715" width="14" style="42" bestFit="1" customWidth="1"/>
    <col min="8716" max="8716" width="9.33203125" style="42" bestFit="1" customWidth="1"/>
    <col min="8717" max="8717" width="17.6640625" style="42" bestFit="1" customWidth="1"/>
    <col min="8718" max="8718" width="9.33203125" style="42" bestFit="1" customWidth="1"/>
    <col min="8719" max="8719" width="17.6640625" style="42" bestFit="1" customWidth="1"/>
    <col min="8720" max="8720" width="9.33203125" style="42" bestFit="1" customWidth="1"/>
    <col min="8721" max="8721" width="16.5546875" style="42" bestFit="1" customWidth="1"/>
    <col min="8722" max="8722" width="9.33203125" style="42" bestFit="1" customWidth="1"/>
    <col min="8723" max="8723" width="16.5546875" style="42" bestFit="1" customWidth="1"/>
    <col min="8724" max="8724" width="10.33203125" style="42" bestFit="1" customWidth="1"/>
    <col min="8725" max="8725" width="16" style="42" bestFit="1" customWidth="1"/>
    <col min="8726" max="8726" width="10.33203125" style="42" customWidth="1"/>
    <col min="8727" max="8727" width="10.5546875" style="42" customWidth="1"/>
    <col min="8728" max="8728" width="16" style="42" bestFit="1" customWidth="1"/>
    <col min="8729" max="8729" width="11.33203125" style="42" bestFit="1" customWidth="1"/>
    <col min="8730" max="8730" width="10.109375" style="42" customWidth="1"/>
    <col min="8731" max="8961" width="9.109375" style="42"/>
    <col min="8962" max="8962" width="28.109375" style="42" bestFit="1" customWidth="1"/>
    <col min="8963" max="8963" width="9.109375" style="42"/>
    <col min="8964" max="8964" width="9.33203125" style="42" bestFit="1" customWidth="1"/>
    <col min="8965" max="8965" width="16.5546875" style="42" bestFit="1" customWidth="1"/>
    <col min="8966" max="8966" width="12.6640625" style="42" customWidth="1"/>
    <col min="8967" max="8967" width="16" style="42" bestFit="1" customWidth="1"/>
    <col min="8968" max="8968" width="11" style="42" customWidth="1"/>
    <col min="8969" max="8969" width="14" style="42" bestFit="1" customWidth="1"/>
    <col min="8970" max="8970" width="10.44140625" style="42" customWidth="1"/>
    <col min="8971" max="8971" width="14" style="42" bestFit="1" customWidth="1"/>
    <col min="8972" max="8972" width="9.33203125" style="42" bestFit="1" customWidth="1"/>
    <col min="8973" max="8973" width="17.6640625" style="42" bestFit="1" customWidth="1"/>
    <col min="8974" max="8974" width="9.33203125" style="42" bestFit="1" customWidth="1"/>
    <col min="8975" max="8975" width="17.6640625" style="42" bestFit="1" customWidth="1"/>
    <col min="8976" max="8976" width="9.33203125" style="42" bestFit="1" customWidth="1"/>
    <col min="8977" max="8977" width="16.5546875" style="42" bestFit="1" customWidth="1"/>
    <col min="8978" max="8978" width="9.33203125" style="42" bestFit="1" customWidth="1"/>
    <col min="8979" max="8979" width="16.5546875" style="42" bestFit="1" customWidth="1"/>
    <col min="8980" max="8980" width="10.33203125" style="42" bestFit="1" customWidth="1"/>
    <col min="8981" max="8981" width="16" style="42" bestFit="1" customWidth="1"/>
    <col min="8982" max="8982" width="10.33203125" style="42" customWidth="1"/>
    <col min="8983" max="8983" width="10.5546875" style="42" customWidth="1"/>
    <col min="8984" max="8984" width="16" style="42" bestFit="1" customWidth="1"/>
    <col min="8985" max="8985" width="11.33203125" style="42" bestFit="1" customWidth="1"/>
    <col min="8986" max="8986" width="10.109375" style="42" customWidth="1"/>
    <col min="8987" max="9217" width="9.109375" style="42"/>
    <col min="9218" max="9218" width="28.109375" style="42" bestFit="1" customWidth="1"/>
    <col min="9219" max="9219" width="9.109375" style="42"/>
    <col min="9220" max="9220" width="9.33203125" style="42" bestFit="1" customWidth="1"/>
    <col min="9221" max="9221" width="16.5546875" style="42" bestFit="1" customWidth="1"/>
    <col min="9222" max="9222" width="12.6640625" style="42" customWidth="1"/>
    <col min="9223" max="9223" width="16" style="42" bestFit="1" customWidth="1"/>
    <col min="9224" max="9224" width="11" style="42" customWidth="1"/>
    <col min="9225" max="9225" width="14" style="42" bestFit="1" customWidth="1"/>
    <col min="9226" max="9226" width="10.44140625" style="42" customWidth="1"/>
    <col min="9227" max="9227" width="14" style="42" bestFit="1" customWidth="1"/>
    <col min="9228" max="9228" width="9.33203125" style="42" bestFit="1" customWidth="1"/>
    <col min="9229" max="9229" width="17.6640625" style="42" bestFit="1" customWidth="1"/>
    <col min="9230" max="9230" width="9.33203125" style="42" bestFit="1" customWidth="1"/>
    <col min="9231" max="9231" width="17.6640625" style="42" bestFit="1" customWidth="1"/>
    <col min="9232" max="9232" width="9.33203125" style="42" bestFit="1" customWidth="1"/>
    <col min="9233" max="9233" width="16.5546875" style="42" bestFit="1" customWidth="1"/>
    <col min="9234" max="9234" width="9.33203125" style="42" bestFit="1" customWidth="1"/>
    <col min="9235" max="9235" width="16.5546875" style="42" bestFit="1" customWidth="1"/>
    <col min="9236" max="9236" width="10.33203125" style="42" bestFit="1" customWidth="1"/>
    <col min="9237" max="9237" width="16" style="42" bestFit="1" customWidth="1"/>
    <col min="9238" max="9238" width="10.33203125" style="42" customWidth="1"/>
    <col min="9239" max="9239" width="10.5546875" style="42" customWidth="1"/>
    <col min="9240" max="9240" width="16" style="42" bestFit="1" customWidth="1"/>
    <col min="9241" max="9241" width="11.33203125" style="42" bestFit="1" customWidth="1"/>
    <col min="9242" max="9242" width="10.109375" style="42" customWidth="1"/>
    <col min="9243" max="9473" width="9.109375" style="42"/>
    <col min="9474" max="9474" width="28.109375" style="42" bestFit="1" customWidth="1"/>
    <col min="9475" max="9475" width="9.109375" style="42"/>
    <col min="9476" max="9476" width="9.33203125" style="42" bestFit="1" customWidth="1"/>
    <col min="9477" max="9477" width="16.5546875" style="42" bestFit="1" customWidth="1"/>
    <col min="9478" max="9478" width="12.6640625" style="42" customWidth="1"/>
    <col min="9479" max="9479" width="16" style="42" bestFit="1" customWidth="1"/>
    <col min="9480" max="9480" width="11" style="42" customWidth="1"/>
    <col min="9481" max="9481" width="14" style="42" bestFit="1" customWidth="1"/>
    <col min="9482" max="9482" width="10.44140625" style="42" customWidth="1"/>
    <col min="9483" max="9483" width="14" style="42" bestFit="1" customWidth="1"/>
    <col min="9484" max="9484" width="9.33203125" style="42" bestFit="1" customWidth="1"/>
    <col min="9485" max="9485" width="17.6640625" style="42" bestFit="1" customWidth="1"/>
    <col min="9486" max="9486" width="9.33203125" style="42" bestFit="1" customWidth="1"/>
    <col min="9487" max="9487" width="17.6640625" style="42" bestFit="1" customWidth="1"/>
    <col min="9488" max="9488" width="9.33203125" style="42" bestFit="1" customWidth="1"/>
    <col min="9489" max="9489" width="16.5546875" style="42" bestFit="1" customWidth="1"/>
    <col min="9490" max="9490" width="9.33203125" style="42" bestFit="1" customWidth="1"/>
    <col min="9491" max="9491" width="16.5546875" style="42" bestFit="1" customWidth="1"/>
    <col min="9492" max="9492" width="10.33203125" style="42" bestFit="1" customWidth="1"/>
    <col min="9493" max="9493" width="16" style="42" bestFit="1" customWidth="1"/>
    <col min="9494" max="9494" width="10.33203125" style="42" customWidth="1"/>
    <col min="9495" max="9495" width="10.5546875" style="42" customWidth="1"/>
    <col min="9496" max="9496" width="16" style="42" bestFit="1" customWidth="1"/>
    <col min="9497" max="9497" width="11.33203125" style="42" bestFit="1" customWidth="1"/>
    <col min="9498" max="9498" width="10.109375" style="42" customWidth="1"/>
    <col min="9499" max="9729" width="9.109375" style="42"/>
    <col min="9730" max="9730" width="28.109375" style="42" bestFit="1" customWidth="1"/>
    <col min="9731" max="9731" width="9.109375" style="42"/>
    <col min="9732" max="9732" width="9.33203125" style="42" bestFit="1" customWidth="1"/>
    <col min="9733" max="9733" width="16.5546875" style="42" bestFit="1" customWidth="1"/>
    <col min="9734" max="9734" width="12.6640625" style="42" customWidth="1"/>
    <col min="9735" max="9735" width="16" style="42" bestFit="1" customWidth="1"/>
    <col min="9736" max="9736" width="11" style="42" customWidth="1"/>
    <col min="9737" max="9737" width="14" style="42" bestFit="1" customWidth="1"/>
    <col min="9738" max="9738" width="10.44140625" style="42" customWidth="1"/>
    <col min="9739" max="9739" width="14" style="42" bestFit="1" customWidth="1"/>
    <col min="9740" max="9740" width="9.33203125" style="42" bestFit="1" customWidth="1"/>
    <col min="9741" max="9741" width="17.6640625" style="42" bestFit="1" customWidth="1"/>
    <col min="9742" max="9742" width="9.33203125" style="42" bestFit="1" customWidth="1"/>
    <col min="9743" max="9743" width="17.6640625" style="42" bestFit="1" customWidth="1"/>
    <col min="9744" max="9744" width="9.33203125" style="42" bestFit="1" customWidth="1"/>
    <col min="9745" max="9745" width="16.5546875" style="42" bestFit="1" customWidth="1"/>
    <col min="9746" max="9746" width="9.33203125" style="42" bestFit="1" customWidth="1"/>
    <col min="9747" max="9747" width="16.5546875" style="42" bestFit="1" customWidth="1"/>
    <col min="9748" max="9748" width="10.33203125" style="42" bestFit="1" customWidth="1"/>
    <col min="9749" max="9749" width="16" style="42" bestFit="1" customWidth="1"/>
    <col min="9750" max="9750" width="10.33203125" style="42" customWidth="1"/>
    <col min="9751" max="9751" width="10.5546875" style="42" customWidth="1"/>
    <col min="9752" max="9752" width="16" style="42" bestFit="1" customWidth="1"/>
    <col min="9753" max="9753" width="11.33203125" style="42" bestFit="1" customWidth="1"/>
    <col min="9754" max="9754" width="10.109375" style="42" customWidth="1"/>
    <col min="9755" max="9985" width="9.109375" style="42"/>
    <col min="9986" max="9986" width="28.109375" style="42" bestFit="1" customWidth="1"/>
    <col min="9987" max="9987" width="9.109375" style="42"/>
    <col min="9988" max="9988" width="9.33203125" style="42" bestFit="1" customWidth="1"/>
    <col min="9989" max="9989" width="16.5546875" style="42" bestFit="1" customWidth="1"/>
    <col min="9990" max="9990" width="12.6640625" style="42" customWidth="1"/>
    <col min="9991" max="9991" width="16" style="42" bestFit="1" customWidth="1"/>
    <col min="9992" max="9992" width="11" style="42" customWidth="1"/>
    <col min="9993" max="9993" width="14" style="42" bestFit="1" customWidth="1"/>
    <col min="9994" max="9994" width="10.44140625" style="42" customWidth="1"/>
    <col min="9995" max="9995" width="14" style="42" bestFit="1" customWidth="1"/>
    <col min="9996" max="9996" width="9.33203125" style="42" bestFit="1" customWidth="1"/>
    <col min="9997" max="9997" width="17.6640625" style="42" bestFit="1" customWidth="1"/>
    <col min="9998" max="9998" width="9.33203125" style="42" bestFit="1" customWidth="1"/>
    <col min="9999" max="9999" width="17.6640625" style="42" bestFit="1" customWidth="1"/>
    <col min="10000" max="10000" width="9.33203125" style="42" bestFit="1" customWidth="1"/>
    <col min="10001" max="10001" width="16.5546875" style="42" bestFit="1" customWidth="1"/>
    <col min="10002" max="10002" width="9.33203125" style="42" bestFit="1" customWidth="1"/>
    <col min="10003" max="10003" width="16.5546875" style="42" bestFit="1" customWidth="1"/>
    <col min="10004" max="10004" width="10.33203125" style="42" bestFit="1" customWidth="1"/>
    <col min="10005" max="10005" width="16" style="42" bestFit="1" customWidth="1"/>
    <col min="10006" max="10006" width="10.33203125" style="42" customWidth="1"/>
    <col min="10007" max="10007" width="10.5546875" style="42" customWidth="1"/>
    <col min="10008" max="10008" width="16" style="42" bestFit="1" customWidth="1"/>
    <col min="10009" max="10009" width="11.33203125" style="42" bestFit="1" customWidth="1"/>
    <col min="10010" max="10010" width="10.109375" style="42" customWidth="1"/>
    <col min="10011" max="10241" width="9.109375" style="42"/>
    <col min="10242" max="10242" width="28.109375" style="42" bestFit="1" customWidth="1"/>
    <col min="10243" max="10243" width="9.109375" style="42"/>
    <col min="10244" max="10244" width="9.33203125" style="42" bestFit="1" customWidth="1"/>
    <col min="10245" max="10245" width="16.5546875" style="42" bestFit="1" customWidth="1"/>
    <col min="10246" max="10246" width="12.6640625" style="42" customWidth="1"/>
    <col min="10247" max="10247" width="16" style="42" bestFit="1" customWidth="1"/>
    <col min="10248" max="10248" width="11" style="42" customWidth="1"/>
    <col min="10249" max="10249" width="14" style="42" bestFit="1" customWidth="1"/>
    <col min="10250" max="10250" width="10.44140625" style="42" customWidth="1"/>
    <col min="10251" max="10251" width="14" style="42" bestFit="1" customWidth="1"/>
    <col min="10252" max="10252" width="9.33203125" style="42" bestFit="1" customWidth="1"/>
    <col min="10253" max="10253" width="17.6640625" style="42" bestFit="1" customWidth="1"/>
    <col min="10254" max="10254" width="9.33203125" style="42" bestFit="1" customWidth="1"/>
    <col min="10255" max="10255" width="17.6640625" style="42" bestFit="1" customWidth="1"/>
    <col min="10256" max="10256" width="9.33203125" style="42" bestFit="1" customWidth="1"/>
    <col min="10257" max="10257" width="16.5546875" style="42" bestFit="1" customWidth="1"/>
    <col min="10258" max="10258" width="9.33203125" style="42" bestFit="1" customWidth="1"/>
    <col min="10259" max="10259" width="16.5546875" style="42" bestFit="1" customWidth="1"/>
    <col min="10260" max="10260" width="10.33203125" style="42" bestFit="1" customWidth="1"/>
    <col min="10261" max="10261" width="16" style="42" bestFit="1" customWidth="1"/>
    <col min="10262" max="10262" width="10.33203125" style="42" customWidth="1"/>
    <col min="10263" max="10263" width="10.5546875" style="42" customWidth="1"/>
    <col min="10264" max="10264" width="16" style="42" bestFit="1" customWidth="1"/>
    <col min="10265" max="10265" width="11.33203125" style="42" bestFit="1" customWidth="1"/>
    <col min="10266" max="10266" width="10.109375" style="42" customWidth="1"/>
    <col min="10267" max="10497" width="9.109375" style="42"/>
    <col min="10498" max="10498" width="28.109375" style="42" bestFit="1" customWidth="1"/>
    <col min="10499" max="10499" width="9.109375" style="42"/>
    <col min="10500" max="10500" width="9.33203125" style="42" bestFit="1" customWidth="1"/>
    <col min="10501" max="10501" width="16.5546875" style="42" bestFit="1" customWidth="1"/>
    <col min="10502" max="10502" width="12.6640625" style="42" customWidth="1"/>
    <col min="10503" max="10503" width="16" style="42" bestFit="1" customWidth="1"/>
    <col min="10504" max="10504" width="11" style="42" customWidth="1"/>
    <col min="10505" max="10505" width="14" style="42" bestFit="1" customWidth="1"/>
    <col min="10506" max="10506" width="10.44140625" style="42" customWidth="1"/>
    <col min="10507" max="10507" width="14" style="42" bestFit="1" customWidth="1"/>
    <col min="10508" max="10508" width="9.33203125" style="42" bestFit="1" customWidth="1"/>
    <col min="10509" max="10509" width="17.6640625" style="42" bestFit="1" customWidth="1"/>
    <col min="10510" max="10510" width="9.33203125" style="42" bestFit="1" customWidth="1"/>
    <col min="10511" max="10511" width="17.6640625" style="42" bestFit="1" customWidth="1"/>
    <col min="10512" max="10512" width="9.33203125" style="42" bestFit="1" customWidth="1"/>
    <col min="10513" max="10513" width="16.5546875" style="42" bestFit="1" customWidth="1"/>
    <col min="10514" max="10514" width="9.33203125" style="42" bestFit="1" customWidth="1"/>
    <col min="10515" max="10515" width="16.5546875" style="42" bestFit="1" customWidth="1"/>
    <col min="10516" max="10516" width="10.33203125" style="42" bestFit="1" customWidth="1"/>
    <col min="10517" max="10517" width="16" style="42" bestFit="1" customWidth="1"/>
    <col min="10518" max="10518" width="10.33203125" style="42" customWidth="1"/>
    <col min="10519" max="10519" width="10.5546875" style="42" customWidth="1"/>
    <col min="10520" max="10520" width="16" style="42" bestFit="1" customWidth="1"/>
    <col min="10521" max="10521" width="11.33203125" style="42" bestFit="1" customWidth="1"/>
    <col min="10522" max="10522" width="10.109375" style="42" customWidth="1"/>
    <col min="10523" max="10753" width="9.109375" style="42"/>
    <col min="10754" max="10754" width="28.109375" style="42" bestFit="1" customWidth="1"/>
    <col min="10755" max="10755" width="9.109375" style="42"/>
    <col min="10756" max="10756" width="9.33203125" style="42" bestFit="1" customWidth="1"/>
    <col min="10757" max="10757" width="16.5546875" style="42" bestFit="1" customWidth="1"/>
    <col min="10758" max="10758" width="12.6640625" style="42" customWidth="1"/>
    <col min="10759" max="10759" width="16" style="42" bestFit="1" customWidth="1"/>
    <col min="10760" max="10760" width="11" style="42" customWidth="1"/>
    <col min="10761" max="10761" width="14" style="42" bestFit="1" customWidth="1"/>
    <col min="10762" max="10762" width="10.44140625" style="42" customWidth="1"/>
    <col min="10763" max="10763" width="14" style="42" bestFit="1" customWidth="1"/>
    <col min="10764" max="10764" width="9.33203125" style="42" bestFit="1" customWidth="1"/>
    <col min="10765" max="10765" width="17.6640625" style="42" bestFit="1" customWidth="1"/>
    <col min="10766" max="10766" width="9.33203125" style="42" bestFit="1" customWidth="1"/>
    <col min="10767" max="10767" width="17.6640625" style="42" bestFit="1" customWidth="1"/>
    <col min="10768" max="10768" width="9.33203125" style="42" bestFit="1" customWidth="1"/>
    <col min="10769" max="10769" width="16.5546875" style="42" bestFit="1" customWidth="1"/>
    <col min="10770" max="10770" width="9.33203125" style="42" bestFit="1" customWidth="1"/>
    <col min="10771" max="10771" width="16.5546875" style="42" bestFit="1" customWidth="1"/>
    <col min="10772" max="10772" width="10.33203125" style="42" bestFit="1" customWidth="1"/>
    <col min="10773" max="10773" width="16" style="42" bestFit="1" customWidth="1"/>
    <col min="10774" max="10774" width="10.33203125" style="42" customWidth="1"/>
    <col min="10775" max="10775" width="10.5546875" style="42" customWidth="1"/>
    <col min="10776" max="10776" width="16" style="42" bestFit="1" customWidth="1"/>
    <col min="10777" max="10777" width="11.33203125" style="42" bestFit="1" customWidth="1"/>
    <col min="10778" max="10778" width="10.109375" style="42" customWidth="1"/>
    <col min="10779" max="11009" width="9.109375" style="42"/>
    <col min="11010" max="11010" width="28.109375" style="42" bestFit="1" customWidth="1"/>
    <col min="11011" max="11011" width="9.109375" style="42"/>
    <col min="11012" max="11012" width="9.33203125" style="42" bestFit="1" customWidth="1"/>
    <col min="11013" max="11013" width="16.5546875" style="42" bestFit="1" customWidth="1"/>
    <col min="11014" max="11014" width="12.6640625" style="42" customWidth="1"/>
    <col min="11015" max="11015" width="16" style="42" bestFit="1" customWidth="1"/>
    <col min="11016" max="11016" width="11" style="42" customWidth="1"/>
    <col min="11017" max="11017" width="14" style="42" bestFit="1" customWidth="1"/>
    <col min="11018" max="11018" width="10.44140625" style="42" customWidth="1"/>
    <col min="11019" max="11019" width="14" style="42" bestFit="1" customWidth="1"/>
    <col min="11020" max="11020" width="9.33203125" style="42" bestFit="1" customWidth="1"/>
    <col min="11021" max="11021" width="17.6640625" style="42" bestFit="1" customWidth="1"/>
    <col min="11022" max="11022" width="9.33203125" style="42" bestFit="1" customWidth="1"/>
    <col min="11023" max="11023" width="17.6640625" style="42" bestFit="1" customWidth="1"/>
    <col min="11024" max="11024" width="9.33203125" style="42" bestFit="1" customWidth="1"/>
    <col min="11025" max="11025" width="16.5546875" style="42" bestFit="1" customWidth="1"/>
    <col min="11026" max="11026" width="9.33203125" style="42" bestFit="1" customWidth="1"/>
    <col min="11027" max="11027" width="16.5546875" style="42" bestFit="1" customWidth="1"/>
    <col min="11028" max="11028" width="10.33203125" style="42" bestFit="1" customWidth="1"/>
    <col min="11029" max="11029" width="16" style="42" bestFit="1" customWidth="1"/>
    <col min="11030" max="11030" width="10.33203125" style="42" customWidth="1"/>
    <col min="11031" max="11031" width="10.5546875" style="42" customWidth="1"/>
    <col min="11032" max="11032" width="16" style="42" bestFit="1" customWidth="1"/>
    <col min="11033" max="11033" width="11.33203125" style="42" bestFit="1" customWidth="1"/>
    <col min="11034" max="11034" width="10.109375" style="42" customWidth="1"/>
    <col min="11035" max="11265" width="9.109375" style="42"/>
    <col min="11266" max="11266" width="28.109375" style="42" bestFit="1" customWidth="1"/>
    <col min="11267" max="11267" width="9.109375" style="42"/>
    <col min="11268" max="11268" width="9.33203125" style="42" bestFit="1" customWidth="1"/>
    <col min="11269" max="11269" width="16.5546875" style="42" bestFit="1" customWidth="1"/>
    <col min="11270" max="11270" width="12.6640625" style="42" customWidth="1"/>
    <col min="11271" max="11271" width="16" style="42" bestFit="1" customWidth="1"/>
    <col min="11272" max="11272" width="11" style="42" customWidth="1"/>
    <col min="11273" max="11273" width="14" style="42" bestFit="1" customWidth="1"/>
    <col min="11274" max="11274" width="10.44140625" style="42" customWidth="1"/>
    <col min="11275" max="11275" width="14" style="42" bestFit="1" customWidth="1"/>
    <col min="11276" max="11276" width="9.33203125" style="42" bestFit="1" customWidth="1"/>
    <col min="11277" max="11277" width="17.6640625" style="42" bestFit="1" customWidth="1"/>
    <col min="11278" max="11278" width="9.33203125" style="42" bestFit="1" customWidth="1"/>
    <col min="11279" max="11279" width="17.6640625" style="42" bestFit="1" customWidth="1"/>
    <col min="11280" max="11280" width="9.33203125" style="42" bestFit="1" customWidth="1"/>
    <col min="11281" max="11281" width="16.5546875" style="42" bestFit="1" customWidth="1"/>
    <col min="11282" max="11282" width="9.33203125" style="42" bestFit="1" customWidth="1"/>
    <col min="11283" max="11283" width="16.5546875" style="42" bestFit="1" customWidth="1"/>
    <col min="11284" max="11284" width="10.33203125" style="42" bestFit="1" customWidth="1"/>
    <col min="11285" max="11285" width="16" style="42" bestFit="1" customWidth="1"/>
    <col min="11286" max="11286" width="10.33203125" style="42" customWidth="1"/>
    <col min="11287" max="11287" width="10.5546875" style="42" customWidth="1"/>
    <col min="11288" max="11288" width="16" style="42" bestFit="1" customWidth="1"/>
    <col min="11289" max="11289" width="11.33203125" style="42" bestFit="1" customWidth="1"/>
    <col min="11290" max="11290" width="10.109375" style="42" customWidth="1"/>
    <col min="11291" max="11521" width="9.109375" style="42"/>
    <col min="11522" max="11522" width="28.109375" style="42" bestFit="1" customWidth="1"/>
    <col min="11523" max="11523" width="9.109375" style="42"/>
    <col min="11524" max="11524" width="9.33203125" style="42" bestFit="1" customWidth="1"/>
    <col min="11525" max="11525" width="16.5546875" style="42" bestFit="1" customWidth="1"/>
    <col min="11526" max="11526" width="12.6640625" style="42" customWidth="1"/>
    <col min="11527" max="11527" width="16" style="42" bestFit="1" customWidth="1"/>
    <col min="11528" max="11528" width="11" style="42" customWidth="1"/>
    <col min="11529" max="11529" width="14" style="42" bestFit="1" customWidth="1"/>
    <col min="11530" max="11530" width="10.44140625" style="42" customWidth="1"/>
    <col min="11531" max="11531" width="14" style="42" bestFit="1" customWidth="1"/>
    <col min="11532" max="11532" width="9.33203125" style="42" bestFit="1" customWidth="1"/>
    <col min="11533" max="11533" width="17.6640625" style="42" bestFit="1" customWidth="1"/>
    <col min="11534" max="11534" width="9.33203125" style="42" bestFit="1" customWidth="1"/>
    <col min="11535" max="11535" width="17.6640625" style="42" bestFit="1" customWidth="1"/>
    <col min="11536" max="11536" width="9.33203125" style="42" bestFit="1" customWidth="1"/>
    <col min="11537" max="11537" width="16.5546875" style="42" bestFit="1" customWidth="1"/>
    <col min="11538" max="11538" width="9.33203125" style="42" bestFit="1" customWidth="1"/>
    <col min="11539" max="11539" width="16.5546875" style="42" bestFit="1" customWidth="1"/>
    <col min="11540" max="11540" width="10.33203125" style="42" bestFit="1" customWidth="1"/>
    <col min="11541" max="11541" width="16" style="42" bestFit="1" customWidth="1"/>
    <col min="11542" max="11542" width="10.33203125" style="42" customWidth="1"/>
    <col min="11543" max="11543" width="10.5546875" style="42" customWidth="1"/>
    <col min="11544" max="11544" width="16" style="42" bestFit="1" customWidth="1"/>
    <col min="11545" max="11545" width="11.33203125" style="42" bestFit="1" customWidth="1"/>
    <col min="11546" max="11546" width="10.109375" style="42" customWidth="1"/>
    <col min="11547" max="11777" width="9.109375" style="42"/>
    <col min="11778" max="11778" width="28.109375" style="42" bestFit="1" customWidth="1"/>
    <col min="11779" max="11779" width="9.109375" style="42"/>
    <col min="11780" max="11780" width="9.33203125" style="42" bestFit="1" customWidth="1"/>
    <col min="11781" max="11781" width="16.5546875" style="42" bestFit="1" customWidth="1"/>
    <col min="11782" max="11782" width="12.6640625" style="42" customWidth="1"/>
    <col min="11783" max="11783" width="16" style="42" bestFit="1" customWidth="1"/>
    <col min="11784" max="11784" width="11" style="42" customWidth="1"/>
    <col min="11785" max="11785" width="14" style="42" bestFit="1" customWidth="1"/>
    <col min="11786" max="11786" width="10.44140625" style="42" customWidth="1"/>
    <col min="11787" max="11787" width="14" style="42" bestFit="1" customWidth="1"/>
    <col min="11788" max="11788" width="9.33203125" style="42" bestFit="1" customWidth="1"/>
    <col min="11789" max="11789" width="17.6640625" style="42" bestFit="1" customWidth="1"/>
    <col min="11790" max="11790" width="9.33203125" style="42" bestFit="1" customWidth="1"/>
    <col min="11791" max="11791" width="17.6640625" style="42" bestFit="1" customWidth="1"/>
    <col min="11792" max="11792" width="9.33203125" style="42" bestFit="1" customWidth="1"/>
    <col min="11793" max="11793" width="16.5546875" style="42" bestFit="1" customWidth="1"/>
    <col min="11794" max="11794" width="9.33203125" style="42" bestFit="1" customWidth="1"/>
    <col min="11795" max="11795" width="16.5546875" style="42" bestFit="1" customWidth="1"/>
    <col min="11796" max="11796" width="10.33203125" style="42" bestFit="1" customWidth="1"/>
    <col min="11797" max="11797" width="16" style="42" bestFit="1" customWidth="1"/>
    <col min="11798" max="11798" width="10.33203125" style="42" customWidth="1"/>
    <col min="11799" max="11799" width="10.5546875" style="42" customWidth="1"/>
    <col min="11800" max="11800" width="16" style="42" bestFit="1" customWidth="1"/>
    <col min="11801" max="11801" width="11.33203125" style="42" bestFit="1" customWidth="1"/>
    <col min="11802" max="11802" width="10.109375" style="42" customWidth="1"/>
    <col min="11803" max="12033" width="9.109375" style="42"/>
    <col min="12034" max="12034" width="28.109375" style="42" bestFit="1" customWidth="1"/>
    <col min="12035" max="12035" width="9.109375" style="42"/>
    <col min="12036" max="12036" width="9.33203125" style="42" bestFit="1" customWidth="1"/>
    <col min="12037" max="12037" width="16.5546875" style="42" bestFit="1" customWidth="1"/>
    <col min="12038" max="12038" width="12.6640625" style="42" customWidth="1"/>
    <col min="12039" max="12039" width="16" style="42" bestFit="1" customWidth="1"/>
    <col min="12040" max="12040" width="11" style="42" customWidth="1"/>
    <col min="12041" max="12041" width="14" style="42" bestFit="1" customWidth="1"/>
    <col min="12042" max="12042" width="10.44140625" style="42" customWidth="1"/>
    <col min="12043" max="12043" width="14" style="42" bestFit="1" customWidth="1"/>
    <col min="12044" max="12044" width="9.33203125" style="42" bestFit="1" customWidth="1"/>
    <col min="12045" max="12045" width="17.6640625" style="42" bestFit="1" customWidth="1"/>
    <col min="12046" max="12046" width="9.33203125" style="42" bestFit="1" customWidth="1"/>
    <col min="12047" max="12047" width="17.6640625" style="42" bestFit="1" customWidth="1"/>
    <col min="12048" max="12048" width="9.33203125" style="42" bestFit="1" customWidth="1"/>
    <col min="12049" max="12049" width="16.5546875" style="42" bestFit="1" customWidth="1"/>
    <col min="12050" max="12050" width="9.33203125" style="42" bestFit="1" customWidth="1"/>
    <col min="12051" max="12051" width="16.5546875" style="42" bestFit="1" customWidth="1"/>
    <col min="12052" max="12052" width="10.33203125" style="42" bestFit="1" customWidth="1"/>
    <col min="12053" max="12053" width="16" style="42" bestFit="1" customWidth="1"/>
    <col min="12054" max="12054" width="10.33203125" style="42" customWidth="1"/>
    <col min="12055" max="12055" width="10.5546875" style="42" customWidth="1"/>
    <col min="12056" max="12056" width="16" style="42" bestFit="1" customWidth="1"/>
    <col min="12057" max="12057" width="11.33203125" style="42" bestFit="1" customWidth="1"/>
    <col min="12058" max="12058" width="10.109375" style="42" customWidth="1"/>
    <col min="12059" max="12289" width="9.109375" style="42"/>
    <col min="12290" max="12290" width="28.109375" style="42" bestFit="1" customWidth="1"/>
    <col min="12291" max="12291" width="9.109375" style="42"/>
    <col min="12292" max="12292" width="9.33203125" style="42" bestFit="1" customWidth="1"/>
    <col min="12293" max="12293" width="16.5546875" style="42" bestFit="1" customWidth="1"/>
    <col min="12294" max="12294" width="12.6640625" style="42" customWidth="1"/>
    <col min="12295" max="12295" width="16" style="42" bestFit="1" customWidth="1"/>
    <col min="12296" max="12296" width="11" style="42" customWidth="1"/>
    <col min="12297" max="12297" width="14" style="42" bestFit="1" customWidth="1"/>
    <col min="12298" max="12298" width="10.44140625" style="42" customWidth="1"/>
    <col min="12299" max="12299" width="14" style="42" bestFit="1" customWidth="1"/>
    <col min="12300" max="12300" width="9.33203125" style="42" bestFit="1" customWidth="1"/>
    <col min="12301" max="12301" width="17.6640625" style="42" bestFit="1" customWidth="1"/>
    <col min="12302" max="12302" width="9.33203125" style="42" bestFit="1" customWidth="1"/>
    <col min="12303" max="12303" width="17.6640625" style="42" bestFit="1" customWidth="1"/>
    <col min="12304" max="12304" width="9.33203125" style="42" bestFit="1" customWidth="1"/>
    <col min="12305" max="12305" width="16.5546875" style="42" bestFit="1" customWidth="1"/>
    <col min="12306" max="12306" width="9.33203125" style="42" bestFit="1" customWidth="1"/>
    <col min="12307" max="12307" width="16.5546875" style="42" bestFit="1" customWidth="1"/>
    <col min="12308" max="12308" width="10.33203125" style="42" bestFit="1" customWidth="1"/>
    <col min="12309" max="12309" width="16" style="42" bestFit="1" customWidth="1"/>
    <col min="12310" max="12310" width="10.33203125" style="42" customWidth="1"/>
    <col min="12311" max="12311" width="10.5546875" style="42" customWidth="1"/>
    <col min="12312" max="12312" width="16" style="42" bestFit="1" customWidth="1"/>
    <col min="12313" max="12313" width="11.33203125" style="42" bestFit="1" customWidth="1"/>
    <col min="12314" max="12314" width="10.109375" style="42" customWidth="1"/>
    <col min="12315" max="12545" width="9.109375" style="42"/>
    <col min="12546" max="12546" width="28.109375" style="42" bestFit="1" customWidth="1"/>
    <col min="12547" max="12547" width="9.109375" style="42"/>
    <col min="12548" max="12548" width="9.33203125" style="42" bestFit="1" customWidth="1"/>
    <col min="12549" max="12549" width="16.5546875" style="42" bestFit="1" customWidth="1"/>
    <col min="12550" max="12550" width="12.6640625" style="42" customWidth="1"/>
    <col min="12551" max="12551" width="16" style="42" bestFit="1" customWidth="1"/>
    <col min="12552" max="12552" width="11" style="42" customWidth="1"/>
    <col min="12553" max="12553" width="14" style="42" bestFit="1" customWidth="1"/>
    <col min="12554" max="12554" width="10.44140625" style="42" customWidth="1"/>
    <col min="12555" max="12555" width="14" style="42" bestFit="1" customWidth="1"/>
    <col min="12556" max="12556" width="9.33203125" style="42" bestFit="1" customWidth="1"/>
    <col min="12557" max="12557" width="17.6640625" style="42" bestFit="1" customWidth="1"/>
    <col min="12558" max="12558" width="9.33203125" style="42" bestFit="1" customWidth="1"/>
    <col min="12559" max="12559" width="17.6640625" style="42" bestFit="1" customWidth="1"/>
    <col min="12560" max="12560" width="9.33203125" style="42" bestFit="1" customWidth="1"/>
    <col min="12561" max="12561" width="16.5546875" style="42" bestFit="1" customWidth="1"/>
    <col min="12562" max="12562" width="9.33203125" style="42" bestFit="1" customWidth="1"/>
    <col min="12563" max="12563" width="16.5546875" style="42" bestFit="1" customWidth="1"/>
    <col min="12564" max="12564" width="10.33203125" style="42" bestFit="1" customWidth="1"/>
    <col min="12565" max="12565" width="16" style="42" bestFit="1" customWidth="1"/>
    <col min="12566" max="12566" width="10.33203125" style="42" customWidth="1"/>
    <col min="12567" max="12567" width="10.5546875" style="42" customWidth="1"/>
    <col min="12568" max="12568" width="16" style="42" bestFit="1" customWidth="1"/>
    <col min="12569" max="12569" width="11.33203125" style="42" bestFit="1" customWidth="1"/>
    <col min="12570" max="12570" width="10.109375" style="42" customWidth="1"/>
    <col min="12571" max="12801" width="9.109375" style="42"/>
    <col min="12802" max="12802" width="28.109375" style="42" bestFit="1" customWidth="1"/>
    <col min="12803" max="12803" width="9.109375" style="42"/>
    <col min="12804" max="12804" width="9.33203125" style="42" bestFit="1" customWidth="1"/>
    <col min="12805" max="12805" width="16.5546875" style="42" bestFit="1" customWidth="1"/>
    <col min="12806" max="12806" width="12.6640625" style="42" customWidth="1"/>
    <col min="12807" max="12807" width="16" style="42" bestFit="1" customWidth="1"/>
    <col min="12808" max="12808" width="11" style="42" customWidth="1"/>
    <col min="12809" max="12809" width="14" style="42" bestFit="1" customWidth="1"/>
    <col min="12810" max="12810" width="10.44140625" style="42" customWidth="1"/>
    <col min="12811" max="12811" width="14" style="42" bestFit="1" customWidth="1"/>
    <col min="12812" max="12812" width="9.33203125" style="42" bestFit="1" customWidth="1"/>
    <col min="12813" max="12813" width="17.6640625" style="42" bestFit="1" customWidth="1"/>
    <col min="12814" max="12814" width="9.33203125" style="42" bestFit="1" customWidth="1"/>
    <col min="12815" max="12815" width="17.6640625" style="42" bestFit="1" customWidth="1"/>
    <col min="12816" max="12816" width="9.33203125" style="42" bestFit="1" customWidth="1"/>
    <col min="12817" max="12817" width="16.5546875" style="42" bestFit="1" customWidth="1"/>
    <col min="12818" max="12818" width="9.33203125" style="42" bestFit="1" customWidth="1"/>
    <col min="12819" max="12819" width="16.5546875" style="42" bestFit="1" customWidth="1"/>
    <col min="12820" max="12820" width="10.33203125" style="42" bestFit="1" customWidth="1"/>
    <col min="12821" max="12821" width="16" style="42" bestFit="1" customWidth="1"/>
    <col min="12822" max="12822" width="10.33203125" style="42" customWidth="1"/>
    <col min="12823" max="12823" width="10.5546875" style="42" customWidth="1"/>
    <col min="12824" max="12824" width="16" style="42" bestFit="1" customWidth="1"/>
    <col min="12825" max="12825" width="11.33203125" style="42" bestFit="1" customWidth="1"/>
    <col min="12826" max="12826" width="10.109375" style="42" customWidth="1"/>
    <col min="12827" max="13057" width="9.109375" style="42"/>
    <col min="13058" max="13058" width="28.109375" style="42" bestFit="1" customWidth="1"/>
    <col min="13059" max="13059" width="9.109375" style="42"/>
    <col min="13060" max="13060" width="9.33203125" style="42" bestFit="1" customWidth="1"/>
    <col min="13061" max="13061" width="16.5546875" style="42" bestFit="1" customWidth="1"/>
    <col min="13062" max="13062" width="12.6640625" style="42" customWidth="1"/>
    <col min="13063" max="13063" width="16" style="42" bestFit="1" customWidth="1"/>
    <col min="13064" max="13064" width="11" style="42" customWidth="1"/>
    <col min="13065" max="13065" width="14" style="42" bestFit="1" customWidth="1"/>
    <col min="13066" max="13066" width="10.44140625" style="42" customWidth="1"/>
    <col min="13067" max="13067" width="14" style="42" bestFit="1" customWidth="1"/>
    <col min="13068" max="13068" width="9.33203125" style="42" bestFit="1" customWidth="1"/>
    <col min="13069" max="13069" width="17.6640625" style="42" bestFit="1" customWidth="1"/>
    <col min="13070" max="13070" width="9.33203125" style="42" bestFit="1" customWidth="1"/>
    <col min="13071" max="13071" width="17.6640625" style="42" bestFit="1" customWidth="1"/>
    <col min="13072" max="13072" width="9.33203125" style="42" bestFit="1" customWidth="1"/>
    <col min="13073" max="13073" width="16.5546875" style="42" bestFit="1" customWidth="1"/>
    <col min="13074" max="13074" width="9.33203125" style="42" bestFit="1" customWidth="1"/>
    <col min="13075" max="13075" width="16.5546875" style="42" bestFit="1" customWidth="1"/>
    <col min="13076" max="13076" width="10.33203125" style="42" bestFit="1" customWidth="1"/>
    <col min="13077" max="13077" width="16" style="42" bestFit="1" customWidth="1"/>
    <col min="13078" max="13078" width="10.33203125" style="42" customWidth="1"/>
    <col min="13079" max="13079" width="10.5546875" style="42" customWidth="1"/>
    <col min="13080" max="13080" width="16" style="42" bestFit="1" customWidth="1"/>
    <col min="13081" max="13081" width="11.33203125" style="42" bestFit="1" customWidth="1"/>
    <col min="13082" max="13082" width="10.109375" style="42" customWidth="1"/>
    <col min="13083" max="13313" width="9.109375" style="42"/>
    <col min="13314" max="13314" width="28.109375" style="42" bestFit="1" customWidth="1"/>
    <col min="13315" max="13315" width="9.109375" style="42"/>
    <col min="13316" max="13316" width="9.33203125" style="42" bestFit="1" customWidth="1"/>
    <col min="13317" max="13317" width="16.5546875" style="42" bestFit="1" customWidth="1"/>
    <col min="13318" max="13318" width="12.6640625" style="42" customWidth="1"/>
    <col min="13319" max="13319" width="16" style="42" bestFit="1" customWidth="1"/>
    <col min="13320" max="13320" width="11" style="42" customWidth="1"/>
    <col min="13321" max="13321" width="14" style="42" bestFit="1" customWidth="1"/>
    <col min="13322" max="13322" width="10.44140625" style="42" customWidth="1"/>
    <col min="13323" max="13323" width="14" style="42" bestFit="1" customWidth="1"/>
    <col min="13324" max="13324" width="9.33203125" style="42" bestFit="1" customWidth="1"/>
    <col min="13325" max="13325" width="17.6640625" style="42" bestFit="1" customWidth="1"/>
    <col min="13326" max="13326" width="9.33203125" style="42" bestFit="1" customWidth="1"/>
    <col min="13327" max="13327" width="17.6640625" style="42" bestFit="1" customWidth="1"/>
    <col min="13328" max="13328" width="9.33203125" style="42" bestFit="1" customWidth="1"/>
    <col min="13329" max="13329" width="16.5546875" style="42" bestFit="1" customWidth="1"/>
    <col min="13330" max="13330" width="9.33203125" style="42" bestFit="1" customWidth="1"/>
    <col min="13331" max="13331" width="16.5546875" style="42" bestFit="1" customWidth="1"/>
    <col min="13332" max="13332" width="10.33203125" style="42" bestFit="1" customWidth="1"/>
    <col min="13333" max="13333" width="16" style="42" bestFit="1" customWidth="1"/>
    <col min="13334" max="13334" width="10.33203125" style="42" customWidth="1"/>
    <col min="13335" max="13335" width="10.5546875" style="42" customWidth="1"/>
    <col min="13336" max="13336" width="16" style="42" bestFit="1" customWidth="1"/>
    <col min="13337" max="13337" width="11.33203125" style="42" bestFit="1" customWidth="1"/>
    <col min="13338" max="13338" width="10.109375" style="42" customWidth="1"/>
    <col min="13339" max="13569" width="9.109375" style="42"/>
    <col min="13570" max="13570" width="28.109375" style="42" bestFit="1" customWidth="1"/>
    <col min="13571" max="13571" width="9.109375" style="42"/>
    <col min="13572" max="13572" width="9.33203125" style="42" bestFit="1" customWidth="1"/>
    <col min="13573" max="13573" width="16.5546875" style="42" bestFit="1" customWidth="1"/>
    <col min="13574" max="13574" width="12.6640625" style="42" customWidth="1"/>
    <col min="13575" max="13575" width="16" style="42" bestFit="1" customWidth="1"/>
    <col min="13576" max="13576" width="11" style="42" customWidth="1"/>
    <col min="13577" max="13577" width="14" style="42" bestFit="1" customWidth="1"/>
    <col min="13578" max="13578" width="10.44140625" style="42" customWidth="1"/>
    <col min="13579" max="13579" width="14" style="42" bestFit="1" customWidth="1"/>
    <col min="13580" max="13580" width="9.33203125" style="42" bestFit="1" customWidth="1"/>
    <col min="13581" max="13581" width="17.6640625" style="42" bestFit="1" customWidth="1"/>
    <col min="13582" max="13582" width="9.33203125" style="42" bestFit="1" customWidth="1"/>
    <col min="13583" max="13583" width="17.6640625" style="42" bestFit="1" customWidth="1"/>
    <col min="13584" max="13584" width="9.33203125" style="42" bestFit="1" customWidth="1"/>
    <col min="13585" max="13585" width="16.5546875" style="42" bestFit="1" customWidth="1"/>
    <col min="13586" max="13586" width="9.33203125" style="42" bestFit="1" customWidth="1"/>
    <col min="13587" max="13587" width="16.5546875" style="42" bestFit="1" customWidth="1"/>
    <col min="13588" max="13588" width="10.33203125" style="42" bestFit="1" customWidth="1"/>
    <col min="13589" max="13589" width="16" style="42" bestFit="1" customWidth="1"/>
    <col min="13590" max="13590" width="10.33203125" style="42" customWidth="1"/>
    <col min="13591" max="13591" width="10.5546875" style="42" customWidth="1"/>
    <col min="13592" max="13592" width="16" style="42" bestFit="1" customWidth="1"/>
    <col min="13593" max="13593" width="11.33203125" style="42" bestFit="1" customWidth="1"/>
    <col min="13594" max="13594" width="10.109375" style="42" customWidth="1"/>
    <col min="13595" max="13825" width="9.109375" style="42"/>
    <col min="13826" max="13826" width="28.109375" style="42" bestFit="1" customWidth="1"/>
    <col min="13827" max="13827" width="9.109375" style="42"/>
    <col min="13828" max="13828" width="9.33203125" style="42" bestFit="1" customWidth="1"/>
    <col min="13829" max="13829" width="16.5546875" style="42" bestFit="1" customWidth="1"/>
    <col min="13830" max="13830" width="12.6640625" style="42" customWidth="1"/>
    <col min="13831" max="13831" width="16" style="42" bestFit="1" customWidth="1"/>
    <col min="13832" max="13832" width="11" style="42" customWidth="1"/>
    <col min="13833" max="13833" width="14" style="42" bestFit="1" customWidth="1"/>
    <col min="13834" max="13834" width="10.44140625" style="42" customWidth="1"/>
    <col min="13835" max="13835" width="14" style="42" bestFit="1" customWidth="1"/>
    <col min="13836" max="13836" width="9.33203125" style="42" bestFit="1" customWidth="1"/>
    <col min="13837" max="13837" width="17.6640625" style="42" bestFit="1" customWidth="1"/>
    <col min="13838" max="13838" width="9.33203125" style="42" bestFit="1" customWidth="1"/>
    <col min="13839" max="13839" width="17.6640625" style="42" bestFit="1" customWidth="1"/>
    <col min="13840" max="13840" width="9.33203125" style="42" bestFit="1" customWidth="1"/>
    <col min="13841" max="13841" width="16.5546875" style="42" bestFit="1" customWidth="1"/>
    <col min="13842" max="13842" width="9.33203125" style="42" bestFit="1" customWidth="1"/>
    <col min="13843" max="13843" width="16.5546875" style="42" bestFit="1" customWidth="1"/>
    <col min="13844" max="13844" width="10.33203125" style="42" bestFit="1" customWidth="1"/>
    <col min="13845" max="13845" width="16" style="42" bestFit="1" customWidth="1"/>
    <col min="13846" max="13846" width="10.33203125" style="42" customWidth="1"/>
    <col min="13847" max="13847" width="10.5546875" style="42" customWidth="1"/>
    <col min="13848" max="13848" width="16" style="42" bestFit="1" customWidth="1"/>
    <col min="13849" max="13849" width="11.33203125" style="42" bestFit="1" customWidth="1"/>
    <col min="13850" max="13850" width="10.109375" style="42" customWidth="1"/>
    <col min="13851" max="14081" width="9.109375" style="42"/>
    <col min="14082" max="14082" width="28.109375" style="42" bestFit="1" customWidth="1"/>
    <col min="14083" max="14083" width="9.109375" style="42"/>
    <col min="14084" max="14084" width="9.33203125" style="42" bestFit="1" customWidth="1"/>
    <col min="14085" max="14085" width="16.5546875" style="42" bestFit="1" customWidth="1"/>
    <col min="14086" max="14086" width="12.6640625" style="42" customWidth="1"/>
    <col min="14087" max="14087" width="16" style="42" bestFit="1" customWidth="1"/>
    <col min="14088" max="14088" width="11" style="42" customWidth="1"/>
    <col min="14089" max="14089" width="14" style="42" bestFit="1" customWidth="1"/>
    <col min="14090" max="14090" width="10.44140625" style="42" customWidth="1"/>
    <col min="14091" max="14091" width="14" style="42" bestFit="1" customWidth="1"/>
    <col min="14092" max="14092" width="9.33203125" style="42" bestFit="1" customWidth="1"/>
    <col min="14093" max="14093" width="17.6640625" style="42" bestFit="1" customWidth="1"/>
    <col min="14094" max="14094" width="9.33203125" style="42" bestFit="1" customWidth="1"/>
    <col min="14095" max="14095" width="17.6640625" style="42" bestFit="1" customWidth="1"/>
    <col min="14096" max="14096" width="9.33203125" style="42" bestFit="1" customWidth="1"/>
    <col min="14097" max="14097" width="16.5546875" style="42" bestFit="1" customWidth="1"/>
    <col min="14098" max="14098" width="9.33203125" style="42" bestFit="1" customWidth="1"/>
    <col min="14099" max="14099" width="16.5546875" style="42" bestFit="1" customWidth="1"/>
    <col min="14100" max="14100" width="10.33203125" style="42" bestFit="1" customWidth="1"/>
    <col min="14101" max="14101" width="16" style="42" bestFit="1" customWidth="1"/>
    <col min="14102" max="14102" width="10.33203125" style="42" customWidth="1"/>
    <col min="14103" max="14103" width="10.5546875" style="42" customWidth="1"/>
    <col min="14104" max="14104" width="16" style="42" bestFit="1" customWidth="1"/>
    <col min="14105" max="14105" width="11.33203125" style="42" bestFit="1" customWidth="1"/>
    <col min="14106" max="14106" width="10.109375" style="42" customWidth="1"/>
    <col min="14107" max="14337" width="9.109375" style="42"/>
    <col min="14338" max="14338" width="28.109375" style="42" bestFit="1" customWidth="1"/>
    <col min="14339" max="14339" width="9.109375" style="42"/>
    <col min="14340" max="14340" width="9.33203125" style="42" bestFit="1" customWidth="1"/>
    <col min="14341" max="14341" width="16.5546875" style="42" bestFit="1" customWidth="1"/>
    <col min="14342" max="14342" width="12.6640625" style="42" customWidth="1"/>
    <col min="14343" max="14343" width="16" style="42" bestFit="1" customWidth="1"/>
    <col min="14344" max="14344" width="11" style="42" customWidth="1"/>
    <col min="14345" max="14345" width="14" style="42" bestFit="1" customWidth="1"/>
    <col min="14346" max="14346" width="10.44140625" style="42" customWidth="1"/>
    <col min="14347" max="14347" width="14" style="42" bestFit="1" customWidth="1"/>
    <col min="14348" max="14348" width="9.33203125" style="42" bestFit="1" customWidth="1"/>
    <col min="14349" max="14349" width="17.6640625" style="42" bestFit="1" customWidth="1"/>
    <col min="14350" max="14350" width="9.33203125" style="42" bestFit="1" customWidth="1"/>
    <col min="14351" max="14351" width="17.6640625" style="42" bestFit="1" customWidth="1"/>
    <col min="14352" max="14352" width="9.33203125" style="42" bestFit="1" customWidth="1"/>
    <col min="14353" max="14353" width="16.5546875" style="42" bestFit="1" customWidth="1"/>
    <col min="14354" max="14354" width="9.33203125" style="42" bestFit="1" customWidth="1"/>
    <col min="14355" max="14355" width="16.5546875" style="42" bestFit="1" customWidth="1"/>
    <col min="14356" max="14356" width="10.33203125" style="42" bestFit="1" customWidth="1"/>
    <col min="14357" max="14357" width="16" style="42" bestFit="1" customWidth="1"/>
    <col min="14358" max="14358" width="10.33203125" style="42" customWidth="1"/>
    <col min="14359" max="14359" width="10.5546875" style="42" customWidth="1"/>
    <col min="14360" max="14360" width="16" style="42" bestFit="1" customWidth="1"/>
    <col min="14361" max="14361" width="11.33203125" style="42" bestFit="1" customWidth="1"/>
    <col min="14362" max="14362" width="10.109375" style="42" customWidth="1"/>
    <col min="14363" max="14593" width="9.109375" style="42"/>
    <col min="14594" max="14594" width="28.109375" style="42" bestFit="1" customWidth="1"/>
    <col min="14595" max="14595" width="9.109375" style="42"/>
    <col min="14596" max="14596" width="9.33203125" style="42" bestFit="1" customWidth="1"/>
    <col min="14597" max="14597" width="16.5546875" style="42" bestFit="1" customWidth="1"/>
    <col min="14598" max="14598" width="12.6640625" style="42" customWidth="1"/>
    <col min="14599" max="14599" width="16" style="42" bestFit="1" customWidth="1"/>
    <col min="14600" max="14600" width="11" style="42" customWidth="1"/>
    <col min="14601" max="14601" width="14" style="42" bestFit="1" customWidth="1"/>
    <col min="14602" max="14602" width="10.44140625" style="42" customWidth="1"/>
    <col min="14603" max="14603" width="14" style="42" bestFit="1" customWidth="1"/>
    <col min="14604" max="14604" width="9.33203125" style="42" bestFit="1" customWidth="1"/>
    <col min="14605" max="14605" width="17.6640625" style="42" bestFit="1" customWidth="1"/>
    <col min="14606" max="14606" width="9.33203125" style="42" bestFit="1" customWidth="1"/>
    <col min="14607" max="14607" width="17.6640625" style="42" bestFit="1" customWidth="1"/>
    <col min="14608" max="14608" width="9.33203125" style="42" bestFit="1" customWidth="1"/>
    <col min="14609" max="14609" width="16.5546875" style="42" bestFit="1" customWidth="1"/>
    <col min="14610" max="14610" width="9.33203125" style="42" bestFit="1" customWidth="1"/>
    <col min="14611" max="14611" width="16.5546875" style="42" bestFit="1" customWidth="1"/>
    <col min="14612" max="14612" width="10.33203125" style="42" bestFit="1" customWidth="1"/>
    <col min="14613" max="14613" width="16" style="42" bestFit="1" customWidth="1"/>
    <col min="14614" max="14614" width="10.33203125" style="42" customWidth="1"/>
    <col min="14615" max="14615" width="10.5546875" style="42" customWidth="1"/>
    <col min="14616" max="14616" width="16" style="42" bestFit="1" customWidth="1"/>
    <col min="14617" max="14617" width="11.33203125" style="42" bestFit="1" customWidth="1"/>
    <col min="14618" max="14618" width="10.109375" style="42" customWidth="1"/>
    <col min="14619" max="14849" width="9.109375" style="42"/>
    <col min="14850" max="14850" width="28.109375" style="42" bestFit="1" customWidth="1"/>
    <col min="14851" max="14851" width="9.109375" style="42"/>
    <col min="14852" max="14852" width="9.33203125" style="42" bestFit="1" customWidth="1"/>
    <col min="14853" max="14853" width="16.5546875" style="42" bestFit="1" customWidth="1"/>
    <col min="14854" max="14854" width="12.6640625" style="42" customWidth="1"/>
    <col min="14855" max="14855" width="16" style="42" bestFit="1" customWidth="1"/>
    <col min="14856" max="14856" width="11" style="42" customWidth="1"/>
    <col min="14857" max="14857" width="14" style="42" bestFit="1" customWidth="1"/>
    <col min="14858" max="14858" width="10.44140625" style="42" customWidth="1"/>
    <col min="14859" max="14859" width="14" style="42" bestFit="1" customWidth="1"/>
    <col min="14860" max="14860" width="9.33203125" style="42" bestFit="1" customWidth="1"/>
    <col min="14861" max="14861" width="17.6640625" style="42" bestFit="1" customWidth="1"/>
    <col min="14862" max="14862" width="9.33203125" style="42" bestFit="1" customWidth="1"/>
    <col min="14863" max="14863" width="17.6640625" style="42" bestFit="1" customWidth="1"/>
    <col min="14864" max="14864" width="9.33203125" style="42" bestFit="1" customWidth="1"/>
    <col min="14865" max="14865" width="16.5546875" style="42" bestFit="1" customWidth="1"/>
    <col min="14866" max="14866" width="9.33203125" style="42" bestFit="1" customWidth="1"/>
    <col min="14867" max="14867" width="16.5546875" style="42" bestFit="1" customWidth="1"/>
    <col min="14868" max="14868" width="10.33203125" style="42" bestFit="1" customWidth="1"/>
    <col min="14869" max="14869" width="16" style="42" bestFit="1" customWidth="1"/>
    <col min="14870" max="14870" width="10.33203125" style="42" customWidth="1"/>
    <col min="14871" max="14871" width="10.5546875" style="42" customWidth="1"/>
    <col min="14872" max="14872" width="16" style="42" bestFit="1" customWidth="1"/>
    <col min="14873" max="14873" width="11.33203125" style="42" bestFit="1" customWidth="1"/>
    <col min="14874" max="14874" width="10.109375" style="42" customWidth="1"/>
    <col min="14875" max="15105" width="9.109375" style="42"/>
    <col min="15106" max="15106" width="28.109375" style="42" bestFit="1" customWidth="1"/>
    <col min="15107" max="15107" width="9.109375" style="42"/>
    <col min="15108" max="15108" width="9.33203125" style="42" bestFit="1" customWidth="1"/>
    <col min="15109" max="15109" width="16.5546875" style="42" bestFit="1" customWidth="1"/>
    <col min="15110" max="15110" width="12.6640625" style="42" customWidth="1"/>
    <col min="15111" max="15111" width="16" style="42" bestFit="1" customWidth="1"/>
    <col min="15112" max="15112" width="11" style="42" customWidth="1"/>
    <col min="15113" max="15113" width="14" style="42" bestFit="1" customWidth="1"/>
    <col min="15114" max="15114" width="10.44140625" style="42" customWidth="1"/>
    <col min="15115" max="15115" width="14" style="42" bestFit="1" customWidth="1"/>
    <col min="15116" max="15116" width="9.33203125" style="42" bestFit="1" customWidth="1"/>
    <col min="15117" max="15117" width="17.6640625" style="42" bestFit="1" customWidth="1"/>
    <col min="15118" max="15118" width="9.33203125" style="42" bestFit="1" customWidth="1"/>
    <col min="15119" max="15119" width="17.6640625" style="42" bestFit="1" customWidth="1"/>
    <col min="15120" max="15120" width="9.33203125" style="42" bestFit="1" customWidth="1"/>
    <col min="15121" max="15121" width="16.5546875" style="42" bestFit="1" customWidth="1"/>
    <col min="15122" max="15122" width="9.33203125" style="42" bestFit="1" customWidth="1"/>
    <col min="15123" max="15123" width="16.5546875" style="42" bestFit="1" customWidth="1"/>
    <col min="15124" max="15124" width="10.33203125" style="42" bestFit="1" customWidth="1"/>
    <col min="15125" max="15125" width="16" style="42" bestFit="1" customWidth="1"/>
    <col min="15126" max="15126" width="10.33203125" style="42" customWidth="1"/>
    <col min="15127" max="15127" width="10.5546875" style="42" customWidth="1"/>
    <col min="15128" max="15128" width="16" style="42" bestFit="1" customWidth="1"/>
    <col min="15129" max="15129" width="11.33203125" style="42" bestFit="1" customWidth="1"/>
    <col min="15130" max="15130" width="10.109375" style="42" customWidth="1"/>
    <col min="15131" max="15361" width="9.109375" style="42"/>
    <col min="15362" max="15362" width="28.109375" style="42" bestFit="1" customWidth="1"/>
    <col min="15363" max="15363" width="9.109375" style="42"/>
    <col min="15364" max="15364" width="9.33203125" style="42" bestFit="1" customWidth="1"/>
    <col min="15365" max="15365" width="16.5546875" style="42" bestFit="1" customWidth="1"/>
    <col min="15366" max="15366" width="12.6640625" style="42" customWidth="1"/>
    <col min="15367" max="15367" width="16" style="42" bestFit="1" customWidth="1"/>
    <col min="15368" max="15368" width="11" style="42" customWidth="1"/>
    <col min="15369" max="15369" width="14" style="42" bestFit="1" customWidth="1"/>
    <col min="15370" max="15370" width="10.44140625" style="42" customWidth="1"/>
    <col min="15371" max="15371" width="14" style="42" bestFit="1" customWidth="1"/>
    <col min="15372" max="15372" width="9.33203125" style="42" bestFit="1" customWidth="1"/>
    <col min="15373" max="15373" width="17.6640625" style="42" bestFit="1" customWidth="1"/>
    <col min="15374" max="15374" width="9.33203125" style="42" bestFit="1" customWidth="1"/>
    <col min="15375" max="15375" width="17.6640625" style="42" bestFit="1" customWidth="1"/>
    <col min="15376" max="15376" width="9.33203125" style="42" bestFit="1" customWidth="1"/>
    <col min="15377" max="15377" width="16.5546875" style="42" bestFit="1" customWidth="1"/>
    <col min="15378" max="15378" width="9.33203125" style="42" bestFit="1" customWidth="1"/>
    <col min="15379" max="15379" width="16.5546875" style="42" bestFit="1" customWidth="1"/>
    <col min="15380" max="15380" width="10.33203125" style="42" bestFit="1" customWidth="1"/>
    <col min="15381" max="15381" width="16" style="42" bestFit="1" customWidth="1"/>
    <col min="15382" max="15382" width="10.33203125" style="42" customWidth="1"/>
    <col min="15383" max="15383" width="10.5546875" style="42" customWidth="1"/>
    <col min="15384" max="15384" width="16" style="42" bestFit="1" customWidth="1"/>
    <col min="15385" max="15385" width="11.33203125" style="42" bestFit="1" customWidth="1"/>
    <col min="15386" max="15386" width="10.109375" style="42" customWidth="1"/>
    <col min="15387" max="15617" width="9.109375" style="42"/>
    <col min="15618" max="15618" width="28.109375" style="42" bestFit="1" customWidth="1"/>
    <col min="15619" max="15619" width="9.109375" style="42"/>
    <col min="15620" max="15620" width="9.33203125" style="42" bestFit="1" customWidth="1"/>
    <col min="15621" max="15621" width="16.5546875" style="42" bestFit="1" customWidth="1"/>
    <col min="15622" max="15622" width="12.6640625" style="42" customWidth="1"/>
    <col min="15623" max="15623" width="16" style="42" bestFit="1" customWidth="1"/>
    <col min="15624" max="15624" width="11" style="42" customWidth="1"/>
    <col min="15625" max="15625" width="14" style="42" bestFit="1" customWidth="1"/>
    <col min="15626" max="15626" width="10.44140625" style="42" customWidth="1"/>
    <col min="15627" max="15627" width="14" style="42" bestFit="1" customWidth="1"/>
    <col min="15628" max="15628" width="9.33203125" style="42" bestFit="1" customWidth="1"/>
    <col min="15629" max="15629" width="17.6640625" style="42" bestFit="1" customWidth="1"/>
    <col min="15630" max="15630" width="9.33203125" style="42" bestFit="1" customWidth="1"/>
    <col min="15631" max="15631" width="17.6640625" style="42" bestFit="1" customWidth="1"/>
    <col min="15632" max="15632" width="9.33203125" style="42" bestFit="1" customWidth="1"/>
    <col min="15633" max="15633" width="16.5546875" style="42" bestFit="1" customWidth="1"/>
    <col min="15634" max="15634" width="9.33203125" style="42" bestFit="1" customWidth="1"/>
    <col min="15635" max="15635" width="16.5546875" style="42" bestFit="1" customWidth="1"/>
    <col min="15636" max="15636" width="10.33203125" style="42" bestFit="1" customWidth="1"/>
    <col min="15637" max="15637" width="16" style="42" bestFit="1" customWidth="1"/>
    <col min="15638" max="15638" width="10.33203125" style="42" customWidth="1"/>
    <col min="15639" max="15639" width="10.5546875" style="42" customWidth="1"/>
    <col min="15640" max="15640" width="16" style="42" bestFit="1" customWidth="1"/>
    <col min="15641" max="15641" width="11.33203125" style="42" bestFit="1" customWidth="1"/>
    <col min="15642" max="15642" width="10.109375" style="42" customWidth="1"/>
    <col min="15643" max="15873" width="9.109375" style="42"/>
    <col min="15874" max="15874" width="28.109375" style="42" bestFit="1" customWidth="1"/>
    <col min="15875" max="15875" width="9.109375" style="42"/>
    <col min="15876" max="15876" width="9.33203125" style="42" bestFit="1" customWidth="1"/>
    <col min="15877" max="15877" width="16.5546875" style="42" bestFit="1" customWidth="1"/>
    <col min="15878" max="15878" width="12.6640625" style="42" customWidth="1"/>
    <col min="15879" max="15879" width="16" style="42" bestFit="1" customWidth="1"/>
    <col min="15880" max="15880" width="11" style="42" customWidth="1"/>
    <col min="15881" max="15881" width="14" style="42" bestFit="1" customWidth="1"/>
    <col min="15882" max="15882" width="10.44140625" style="42" customWidth="1"/>
    <col min="15883" max="15883" width="14" style="42" bestFit="1" customWidth="1"/>
    <col min="15884" max="15884" width="9.33203125" style="42" bestFit="1" customWidth="1"/>
    <col min="15885" max="15885" width="17.6640625" style="42" bestFit="1" customWidth="1"/>
    <col min="15886" max="15886" width="9.33203125" style="42" bestFit="1" customWidth="1"/>
    <col min="15887" max="15887" width="17.6640625" style="42" bestFit="1" customWidth="1"/>
    <col min="15888" max="15888" width="9.33203125" style="42" bestFit="1" customWidth="1"/>
    <col min="15889" max="15889" width="16.5546875" style="42" bestFit="1" customWidth="1"/>
    <col min="15890" max="15890" width="9.33203125" style="42" bestFit="1" customWidth="1"/>
    <col min="15891" max="15891" width="16.5546875" style="42" bestFit="1" customWidth="1"/>
    <col min="15892" max="15892" width="10.33203125" style="42" bestFit="1" customWidth="1"/>
    <col min="15893" max="15893" width="16" style="42" bestFit="1" customWidth="1"/>
    <col min="15894" max="15894" width="10.33203125" style="42" customWidth="1"/>
    <col min="15895" max="15895" width="10.5546875" style="42" customWidth="1"/>
    <col min="15896" max="15896" width="16" style="42" bestFit="1" customWidth="1"/>
    <col min="15897" max="15897" width="11.33203125" style="42" bestFit="1" customWidth="1"/>
    <col min="15898" max="15898" width="10.109375" style="42" customWidth="1"/>
    <col min="15899" max="16129" width="9.109375" style="42"/>
    <col min="16130" max="16130" width="28.109375" style="42" bestFit="1" customWidth="1"/>
    <col min="16131" max="16131" width="9.109375" style="42"/>
    <col min="16132" max="16132" width="9.33203125" style="42" bestFit="1" customWidth="1"/>
    <col min="16133" max="16133" width="16.5546875" style="42" bestFit="1" customWidth="1"/>
    <col min="16134" max="16134" width="12.6640625" style="42" customWidth="1"/>
    <col min="16135" max="16135" width="16" style="42" bestFit="1" customWidth="1"/>
    <col min="16136" max="16136" width="11" style="42" customWidth="1"/>
    <col min="16137" max="16137" width="14" style="42" bestFit="1" customWidth="1"/>
    <col min="16138" max="16138" width="10.44140625" style="42" customWidth="1"/>
    <col min="16139" max="16139" width="14" style="42" bestFit="1" customWidth="1"/>
    <col min="16140" max="16140" width="9.33203125" style="42" bestFit="1" customWidth="1"/>
    <col min="16141" max="16141" width="17.6640625" style="42" bestFit="1" customWidth="1"/>
    <col min="16142" max="16142" width="9.33203125" style="42" bestFit="1" customWidth="1"/>
    <col min="16143" max="16143" width="17.6640625" style="42" bestFit="1" customWidth="1"/>
    <col min="16144" max="16144" width="9.33203125" style="42" bestFit="1" customWidth="1"/>
    <col min="16145" max="16145" width="16.5546875" style="42" bestFit="1" customWidth="1"/>
    <col min="16146" max="16146" width="9.33203125" style="42" bestFit="1" customWidth="1"/>
    <col min="16147" max="16147" width="16.5546875" style="42" bestFit="1" customWidth="1"/>
    <col min="16148" max="16148" width="10.33203125" style="42" bestFit="1" customWidth="1"/>
    <col min="16149" max="16149" width="16" style="42" bestFit="1" customWidth="1"/>
    <col min="16150" max="16150" width="10.33203125" style="42" customWidth="1"/>
    <col min="16151" max="16151" width="10.5546875" style="42" customWidth="1"/>
    <col min="16152" max="16152" width="16" style="42" bestFit="1" customWidth="1"/>
    <col min="16153" max="16153" width="11.33203125" style="42" bestFit="1" customWidth="1"/>
    <col min="16154" max="16154" width="10.109375" style="42" customWidth="1"/>
    <col min="16155" max="16384" width="9.109375" style="42"/>
  </cols>
  <sheetData>
    <row r="1" spans="1:26" ht="52.8">
      <c r="A1" s="36" t="s">
        <v>52</v>
      </c>
      <c r="B1" s="36" t="s">
        <v>53</v>
      </c>
      <c r="C1" s="36" t="s">
        <v>34</v>
      </c>
      <c r="D1" s="36" t="s">
        <v>54</v>
      </c>
      <c r="E1" s="36" t="s">
        <v>55</v>
      </c>
      <c r="F1" s="36" t="s">
        <v>56</v>
      </c>
      <c r="G1" s="36" t="s">
        <v>57</v>
      </c>
      <c r="H1" s="36" t="s">
        <v>58</v>
      </c>
      <c r="I1" s="36" t="s">
        <v>59</v>
      </c>
      <c r="J1" s="36" t="s">
        <v>60</v>
      </c>
      <c r="K1" s="36" t="s">
        <v>61</v>
      </c>
      <c r="L1" s="37" t="s">
        <v>62</v>
      </c>
      <c r="M1" s="37" t="s">
        <v>63</v>
      </c>
      <c r="N1" s="36" t="s">
        <v>64</v>
      </c>
      <c r="O1" s="36" t="s">
        <v>65</v>
      </c>
      <c r="P1" s="36" t="s">
        <v>66</v>
      </c>
      <c r="Q1" s="36" t="s">
        <v>67</v>
      </c>
      <c r="R1" s="36" t="s">
        <v>68</v>
      </c>
      <c r="S1" s="36" t="s">
        <v>69</v>
      </c>
      <c r="T1" s="36" t="s">
        <v>70</v>
      </c>
      <c r="U1" s="38" t="s">
        <v>71</v>
      </c>
      <c r="V1" s="39" t="s">
        <v>72</v>
      </c>
      <c r="W1" s="40" t="s">
        <v>73</v>
      </c>
      <c r="X1" s="39" t="s">
        <v>74</v>
      </c>
      <c r="Y1" s="39" t="s">
        <v>75</v>
      </c>
      <c r="Z1" s="41" t="s">
        <v>76</v>
      </c>
    </row>
    <row r="2" spans="1:26">
      <c r="A2" s="42" t="s">
        <v>77</v>
      </c>
      <c r="B2" s="42" t="s">
        <v>78</v>
      </c>
      <c r="C2" s="42" t="s">
        <v>7</v>
      </c>
      <c r="D2" s="43">
        <v>351</v>
      </c>
      <c r="E2" s="43">
        <v>45629300</v>
      </c>
      <c r="F2" s="43">
        <v>3205</v>
      </c>
      <c r="G2" s="43">
        <v>813389900</v>
      </c>
      <c r="H2" s="43"/>
      <c r="I2" s="43"/>
      <c r="J2" s="43"/>
      <c r="K2" s="43"/>
      <c r="L2" s="43">
        <v>201</v>
      </c>
      <c r="M2" s="43">
        <v>178439200</v>
      </c>
      <c r="N2" s="43">
        <v>201</v>
      </c>
      <c r="O2" s="43">
        <v>178439200</v>
      </c>
      <c r="P2" s="43"/>
      <c r="Q2" s="43"/>
      <c r="R2" s="43"/>
      <c r="S2" s="43"/>
      <c r="T2" s="44">
        <f t="shared" ref="T2:U65" si="0">R2+P2+N2+J2+H2+F2+D2</f>
        <v>3757</v>
      </c>
      <c r="U2" s="44">
        <f t="shared" si="0"/>
        <v>1037458400</v>
      </c>
      <c r="V2" s="45">
        <f t="shared" ref="V2:V65" si="1">(G2+I2)/U2</f>
        <v>0.78402170149665762</v>
      </c>
      <c r="W2" s="44">
        <f t="shared" ref="W2:W65" si="2">F2+H2</f>
        <v>3205</v>
      </c>
      <c r="X2" s="44">
        <f t="shared" ref="X2:X65" si="3">G2+I2+S2</f>
        <v>813389900</v>
      </c>
      <c r="Y2" s="43">
        <f t="shared" ref="Y2:Y65" si="4">(G2+I2)/(H2+F2)</f>
        <v>253787.80031201249</v>
      </c>
      <c r="Z2" s="45">
        <f t="shared" ref="Z2:Z65" si="5">S2/U2</f>
        <v>0</v>
      </c>
    </row>
    <row r="3" spans="1:26">
      <c r="A3" s="42" t="s">
        <v>79</v>
      </c>
      <c r="B3" s="42" t="s">
        <v>80</v>
      </c>
      <c r="C3" s="42" t="s">
        <v>7</v>
      </c>
      <c r="D3" s="43">
        <v>2365</v>
      </c>
      <c r="E3" s="43">
        <v>1366814300</v>
      </c>
      <c r="F3" s="43">
        <v>11036</v>
      </c>
      <c r="G3" s="43">
        <v>2855721200</v>
      </c>
      <c r="H3" s="43"/>
      <c r="I3" s="43"/>
      <c r="J3" s="43"/>
      <c r="K3" s="43"/>
      <c r="L3" s="43">
        <v>1964</v>
      </c>
      <c r="M3" s="43">
        <v>16271040100</v>
      </c>
      <c r="N3" s="43">
        <v>1771</v>
      </c>
      <c r="O3" s="43">
        <v>15968033100</v>
      </c>
      <c r="P3" s="43">
        <v>11</v>
      </c>
      <c r="Q3" s="43">
        <v>8201400</v>
      </c>
      <c r="R3" s="43">
        <v>182</v>
      </c>
      <c r="S3" s="43">
        <v>294805600</v>
      </c>
      <c r="T3" s="44">
        <f t="shared" si="0"/>
        <v>15365</v>
      </c>
      <c r="U3" s="44">
        <f t="shared" si="0"/>
        <v>20493575600</v>
      </c>
      <c r="V3" s="45">
        <f t="shared" si="1"/>
        <v>0.13934714252597288</v>
      </c>
      <c r="W3" s="44">
        <f t="shared" si="2"/>
        <v>11036</v>
      </c>
      <c r="X3" s="44">
        <f t="shared" si="3"/>
        <v>3150526800</v>
      </c>
      <c r="Y3" s="43">
        <f t="shared" si="4"/>
        <v>258764.15367886916</v>
      </c>
      <c r="Z3" s="45">
        <f t="shared" si="5"/>
        <v>1.4385269108432205E-2</v>
      </c>
    </row>
    <row r="4" spans="1:26">
      <c r="A4" s="42" t="s">
        <v>81</v>
      </c>
      <c r="B4" s="42" t="s">
        <v>82</v>
      </c>
      <c r="C4" s="42" t="s">
        <v>7</v>
      </c>
      <c r="D4" s="43">
        <v>222</v>
      </c>
      <c r="E4" s="43">
        <v>100178900</v>
      </c>
      <c r="F4" s="43">
        <v>8501</v>
      </c>
      <c r="G4" s="43">
        <v>4499661000</v>
      </c>
      <c r="H4" s="43"/>
      <c r="I4" s="43"/>
      <c r="J4" s="43"/>
      <c r="K4" s="43"/>
      <c r="L4" s="43">
        <v>122</v>
      </c>
      <c r="M4" s="43">
        <v>98070900</v>
      </c>
      <c r="N4" s="43">
        <v>117</v>
      </c>
      <c r="O4" s="43">
        <v>94761900</v>
      </c>
      <c r="P4" s="43"/>
      <c r="Q4" s="43"/>
      <c r="R4" s="43">
        <v>5</v>
      </c>
      <c r="S4" s="43">
        <v>3309000</v>
      </c>
      <c r="T4" s="44">
        <f t="shared" si="0"/>
        <v>8845</v>
      </c>
      <c r="U4" s="44">
        <f t="shared" si="0"/>
        <v>4697910800</v>
      </c>
      <c r="V4" s="45">
        <f t="shared" si="1"/>
        <v>0.95780043333304665</v>
      </c>
      <c r="W4" s="44">
        <f t="shared" si="2"/>
        <v>8501</v>
      </c>
      <c r="X4" s="44">
        <f t="shared" si="3"/>
        <v>4502970000</v>
      </c>
      <c r="Y4" s="43">
        <f t="shared" si="4"/>
        <v>529309.610634043</v>
      </c>
      <c r="Z4" s="45">
        <f t="shared" si="5"/>
        <v>7.0435564676962369E-4</v>
      </c>
    </row>
    <row r="5" spans="1:26">
      <c r="A5" s="42" t="s">
        <v>83</v>
      </c>
      <c r="B5" s="42" t="s">
        <v>84</v>
      </c>
      <c r="C5" s="42" t="s">
        <v>7</v>
      </c>
      <c r="D5" s="43">
        <v>220</v>
      </c>
      <c r="E5" s="43">
        <v>10142300</v>
      </c>
      <c r="F5" s="43">
        <v>1229</v>
      </c>
      <c r="G5" s="43">
        <v>221428500</v>
      </c>
      <c r="H5" s="43">
        <v>98</v>
      </c>
      <c r="I5" s="43">
        <v>18647700</v>
      </c>
      <c r="J5" s="43">
        <v>160</v>
      </c>
      <c r="K5" s="43">
        <v>1721000</v>
      </c>
      <c r="L5" s="43">
        <v>115</v>
      </c>
      <c r="M5" s="43">
        <v>44821300</v>
      </c>
      <c r="N5" s="43">
        <v>104</v>
      </c>
      <c r="O5" s="43">
        <v>31167900</v>
      </c>
      <c r="P5" s="43">
        <v>3</v>
      </c>
      <c r="Q5" s="43">
        <v>5409800</v>
      </c>
      <c r="R5" s="43">
        <v>8</v>
      </c>
      <c r="S5" s="43">
        <v>8243600</v>
      </c>
      <c r="T5" s="44">
        <f t="shared" si="0"/>
        <v>1822</v>
      </c>
      <c r="U5" s="44">
        <f t="shared" si="0"/>
        <v>296760800</v>
      </c>
      <c r="V5" s="45">
        <f t="shared" si="1"/>
        <v>0.80898892306531056</v>
      </c>
      <c r="W5" s="44">
        <f t="shared" si="2"/>
        <v>1327</v>
      </c>
      <c r="X5" s="44">
        <f t="shared" si="3"/>
        <v>248319800</v>
      </c>
      <c r="Y5" s="43">
        <f t="shared" si="4"/>
        <v>180916.50339110775</v>
      </c>
      <c r="Z5" s="45">
        <f t="shared" si="5"/>
        <v>2.7778601486449693E-2</v>
      </c>
    </row>
    <row r="6" spans="1:26">
      <c r="A6" s="42" t="s">
        <v>85</v>
      </c>
      <c r="B6" s="42" t="s">
        <v>86</v>
      </c>
      <c r="C6" s="42" t="s">
        <v>7</v>
      </c>
      <c r="D6" s="43">
        <v>3124</v>
      </c>
      <c r="E6" s="43">
        <v>16816600</v>
      </c>
      <c r="F6" s="43">
        <v>2400</v>
      </c>
      <c r="G6" s="43">
        <v>217914000</v>
      </c>
      <c r="H6" s="43">
        <v>115</v>
      </c>
      <c r="I6" s="43">
        <v>11948600</v>
      </c>
      <c r="J6" s="43">
        <v>281</v>
      </c>
      <c r="K6" s="43">
        <v>2178700</v>
      </c>
      <c r="L6" s="43">
        <v>99</v>
      </c>
      <c r="M6" s="43">
        <v>28087900</v>
      </c>
      <c r="N6" s="43">
        <v>84</v>
      </c>
      <c r="O6" s="43">
        <v>21806800</v>
      </c>
      <c r="P6" s="43">
        <v>15</v>
      </c>
      <c r="Q6" s="43">
        <v>6281100</v>
      </c>
      <c r="R6" s="43"/>
      <c r="S6" s="43"/>
      <c r="T6" s="44">
        <f t="shared" si="0"/>
        <v>6019</v>
      </c>
      <c r="U6" s="44">
        <f t="shared" si="0"/>
        <v>276945800</v>
      </c>
      <c r="V6" s="45">
        <f t="shared" si="1"/>
        <v>0.82999128349301565</v>
      </c>
      <c r="W6" s="44">
        <f t="shared" si="2"/>
        <v>2515</v>
      </c>
      <c r="X6" s="44">
        <f t="shared" si="3"/>
        <v>229862600</v>
      </c>
      <c r="Y6" s="43">
        <f t="shared" si="4"/>
        <v>91396.660039761438</v>
      </c>
      <c r="Z6" s="45">
        <f t="shared" si="5"/>
        <v>0</v>
      </c>
    </row>
    <row r="7" spans="1:26">
      <c r="A7" s="42" t="s">
        <v>87</v>
      </c>
      <c r="B7" s="42" t="s">
        <v>88</v>
      </c>
      <c r="C7" s="42" t="s">
        <v>7</v>
      </c>
      <c r="D7" s="43">
        <v>76</v>
      </c>
      <c r="E7" s="43">
        <v>1742000</v>
      </c>
      <c r="F7" s="43">
        <v>212</v>
      </c>
      <c r="G7" s="43">
        <v>25984500</v>
      </c>
      <c r="H7" s="43">
        <v>3</v>
      </c>
      <c r="I7" s="43">
        <v>258000</v>
      </c>
      <c r="J7" s="43">
        <v>13</v>
      </c>
      <c r="K7" s="43">
        <v>105500</v>
      </c>
      <c r="L7" s="43">
        <v>15</v>
      </c>
      <c r="M7" s="43">
        <v>2398900</v>
      </c>
      <c r="N7" s="43">
        <v>15</v>
      </c>
      <c r="O7" s="43">
        <v>2398900</v>
      </c>
      <c r="P7" s="43"/>
      <c r="Q7" s="43"/>
      <c r="R7" s="43"/>
      <c r="S7" s="43"/>
      <c r="T7" s="44">
        <f t="shared" si="0"/>
        <v>319</v>
      </c>
      <c r="U7" s="44">
        <f t="shared" si="0"/>
        <v>30488900</v>
      </c>
      <c r="V7" s="45">
        <f t="shared" si="1"/>
        <v>0.86072308282686483</v>
      </c>
      <c r="W7" s="44">
        <f t="shared" si="2"/>
        <v>215</v>
      </c>
      <c r="X7" s="44">
        <f t="shared" si="3"/>
        <v>26242500</v>
      </c>
      <c r="Y7" s="43">
        <f t="shared" si="4"/>
        <v>122058.13953488372</v>
      </c>
      <c r="Z7" s="45">
        <f t="shared" si="5"/>
        <v>0</v>
      </c>
    </row>
    <row r="8" spans="1:26">
      <c r="A8" s="42" t="s">
        <v>89</v>
      </c>
      <c r="B8" s="42" t="s">
        <v>90</v>
      </c>
      <c r="C8" s="42" t="s">
        <v>7</v>
      </c>
      <c r="D8" s="43">
        <v>1081</v>
      </c>
      <c r="E8" s="43">
        <v>7473400</v>
      </c>
      <c r="F8" s="43">
        <v>1232</v>
      </c>
      <c r="G8" s="43">
        <v>232881600</v>
      </c>
      <c r="H8" s="43"/>
      <c r="I8" s="43"/>
      <c r="J8" s="43"/>
      <c r="K8" s="43"/>
      <c r="L8" s="43">
        <v>175</v>
      </c>
      <c r="M8" s="43">
        <v>56878500</v>
      </c>
      <c r="N8" s="43">
        <v>148</v>
      </c>
      <c r="O8" s="43">
        <v>41998600</v>
      </c>
      <c r="P8" s="43">
        <v>16</v>
      </c>
      <c r="Q8" s="43">
        <v>7936500</v>
      </c>
      <c r="R8" s="43">
        <v>11</v>
      </c>
      <c r="S8" s="43">
        <v>6943400</v>
      </c>
      <c r="T8" s="44">
        <f t="shared" si="0"/>
        <v>2488</v>
      </c>
      <c r="U8" s="44">
        <f t="shared" si="0"/>
        <v>297233500</v>
      </c>
      <c r="V8" s="45">
        <f t="shared" si="1"/>
        <v>0.78349714954740968</v>
      </c>
      <c r="W8" s="44">
        <f t="shared" si="2"/>
        <v>1232</v>
      </c>
      <c r="X8" s="44">
        <f t="shared" si="3"/>
        <v>239825000</v>
      </c>
      <c r="Y8" s="43">
        <f t="shared" si="4"/>
        <v>189027.27272727274</v>
      </c>
      <c r="Z8" s="45">
        <f t="shared" si="5"/>
        <v>2.336008558927577E-2</v>
      </c>
    </row>
    <row r="9" spans="1:26">
      <c r="A9" s="42" t="s">
        <v>91</v>
      </c>
      <c r="B9" s="42" t="s">
        <v>92</v>
      </c>
      <c r="C9" s="42" t="s">
        <v>7</v>
      </c>
      <c r="D9" s="43">
        <v>4814</v>
      </c>
      <c r="E9" s="43">
        <v>137144000</v>
      </c>
      <c r="F9" s="43">
        <v>13730</v>
      </c>
      <c r="G9" s="43">
        <v>1911350500</v>
      </c>
      <c r="H9" s="43">
        <v>19</v>
      </c>
      <c r="I9" s="43">
        <v>3363500</v>
      </c>
      <c r="J9" s="43">
        <v>62</v>
      </c>
      <c r="K9" s="43">
        <v>508400</v>
      </c>
      <c r="L9" s="43">
        <v>920</v>
      </c>
      <c r="M9" s="43">
        <v>461919500</v>
      </c>
      <c r="N9" s="43">
        <v>888</v>
      </c>
      <c r="O9" s="43">
        <v>426413900</v>
      </c>
      <c r="P9" s="43">
        <v>20</v>
      </c>
      <c r="Q9" s="43">
        <v>27295200</v>
      </c>
      <c r="R9" s="43">
        <v>12</v>
      </c>
      <c r="S9" s="43">
        <v>8210400</v>
      </c>
      <c r="T9" s="44">
        <f t="shared" si="0"/>
        <v>19545</v>
      </c>
      <c r="U9" s="44">
        <f t="shared" si="0"/>
        <v>2514285900</v>
      </c>
      <c r="V9" s="45">
        <f t="shared" si="1"/>
        <v>0.76153392102306261</v>
      </c>
      <c r="W9" s="44">
        <f t="shared" si="2"/>
        <v>13749</v>
      </c>
      <c r="X9" s="44">
        <f t="shared" si="3"/>
        <v>1922924400</v>
      </c>
      <c r="Y9" s="43">
        <f t="shared" si="4"/>
        <v>139262.05542221252</v>
      </c>
      <c r="Z9" s="45">
        <f t="shared" si="5"/>
        <v>3.2654997587983131E-3</v>
      </c>
    </row>
    <row r="10" spans="1:26">
      <c r="A10" s="42" t="s">
        <v>93</v>
      </c>
      <c r="B10" s="42" t="s">
        <v>94</v>
      </c>
      <c r="C10" s="42" t="s">
        <v>7</v>
      </c>
      <c r="D10" s="43">
        <v>739</v>
      </c>
      <c r="E10" s="43">
        <v>9404200</v>
      </c>
      <c r="F10" s="43">
        <v>728</v>
      </c>
      <c r="G10" s="43">
        <v>97746500</v>
      </c>
      <c r="H10" s="43">
        <v>19</v>
      </c>
      <c r="I10" s="43">
        <v>2917400</v>
      </c>
      <c r="J10" s="43">
        <v>49</v>
      </c>
      <c r="K10" s="43">
        <v>1664200</v>
      </c>
      <c r="L10" s="43">
        <v>12</v>
      </c>
      <c r="M10" s="43">
        <v>5652600</v>
      </c>
      <c r="N10" s="43">
        <v>6</v>
      </c>
      <c r="O10" s="43">
        <v>3379300</v>
      </c>
      <c r="P10" s="43">
        <v>5</v>
      </c>
      <c r="Q10" s="43">
        <v>1573300</v>
      </c>
      <c r="R10" s="43">
        <v>1</v>
      </c>
      <c r="S10" s="43">
        <v>700000</v>
      </c>
      <c r="T10" s="44">
        <f t="shared" si="0"/>
        <v>1547</v>
      </c>
      <c r="U10" s="44">
        <f t="shared" si="0"/>
        <v>117384900</v>
      </c>
      <c r="V10" s="45">
        <f t="shared" si="1"/>
        <v>0.85755408063558436</v>
      </c>
      <c r="W10" s="44">
        <f t="shared" si="2"/>
        <v>747</v>
      </c>
      <c r="X10" s="44">
        <f t="shared" si="3"/>
        <v>101363900</v>
      </c>
      <c r="Y10" s="43">
        <f t="shared" si="4"/>
        <v>134757.56358768407</v>
      </c>
      <c r="Z10" s="45">
        <f t="shared" si="5"/>
        <v>5.9632882934687508E-3</v>
      </c>
    </row>
    <row r="11" spans="1:26">
      <c r="A11" s="42" t="s">
        <v>95</v>
      </c>
      <c r="B11" s="42" t="s">
        <v>96</v>
      </c>
      <c r="C11" s="42" t="s">
        <v>7</v>
      </c>
      <c r="D11" s="43">
        <v>464</v>
      </c>
      <c r="E11" s="43">
        <v>4486400</v>
      </c>
      <c r="F11" s="43">
        <v>657</v>
      </c>
      <c r="G11" s="43">
        <v>76698600</v>
      </c>
      <c r="H11" s="43">
        <v>11</v>
      </c>
      <c r="I11" s="43">
        <v>1745200</v>
      </c>
      <c r="J11" s="43">
        <v>57</v>
      </c>
      <c r="K11" s="43">
        <v>192100</v>
      </c>
      <c r="L11" s="43">
        <v>53</v>
      </c>
      <c r="M11" s="43">
        <v>20539100</v>
      </c>
      <c r="N11" s="43">
        <v>42</v>
      </c>
      <c r="O11" s="43">
        <v>10155900</v>
      </c>
      <c r="P11" s="43">
        <v>11</v>
      </c>
      <c r="Q11" s="43">
        <v>10383200</v>
      </c>
      <c r="R11" s="43"/>
      <c r="S11" s="43"/>
      <c r="T11" s="44">
        <f t="shared" si="0"/>
        <v>1242</v>
      </c>
      <c r="U11" s="44">
        <f t="shared" si="0"/>
        <v>103661400</v>
      </c>
      <c r="V11" s="45">
        <f t="shared" si="1"/>
        <v>0.75673104935877766</v>
      </c>
      <c r="W11" s="44">
        <f t="shared" si="2"/>
        <v>668</v>
      </c>
      <c r="X11" s="44">
        <f t="shared" si="3"/>
        <v>78443800</v>
      </c>
      <c r="Y11" s="43">
        <f t="shared" si="4"/>
        <v>117430.83832335329</v>
      </c>
      <c r="Z11" s="45">
        <f t="shared" si="5"/>
        <v>0</v>
      </c>
    </row>
    <row r="12" spans="1:26">
      <c r="A12" s="42" t="s">
        <v>97</v>
      </c>
      <c r="B12" s="42" t="s">
        <v>98</v>
      </c>
      <c r="C12" s="42" t="s">
        <v>7</v>
      </c>
      <c r="D12" s="43">
        <v>4024</v>
      </c>
      <c r="E12" s="43">
        <v>64965900</v>
      </c>
      <c r="F12" s="43">
        <v>13026</v>
      </c>
      <c r="G12" s="43">
        <v>1596589100</v>
      </c>
      <c r="H12" s="43">
        <v>113</v>
      </c>
      <c r="I12" s="43">
        <v>14828400</v>
      </c>
      <c r="J12" s="43">
        <v>257</v>
      </c>
      <c r="K12" s="43">
        <v>1302200</v>
      </c>
      <c r="L12" s="43">
        <v>447</v>
      </c>
      <c r="M12" s="43">
        <v>241477100</v>
      </c>
      <c r="N12" s="43">
        <v>429</v>
      </c>
      <c r="O12" s="43">
        <v>195138700</v>
      </c>
      <c r="P12" s="43">
        <v>2</v>
      </c>
      <c r="Q12" s="43">
        <v>6752100</v>
      </c>
      <c r="R12" s="43">
        <v>16</v>
      </c>
      <c r="S12" s="43">
        <v>39586300</v>
      </c>
      <c r="T12" s="44">
        <f t="shared" si="0"/>
        <v>17867</v>
      </c>
      <c r="U12" s="44">
        <f t="shared" si="0"/>
        <v>1919162700</v>
      </c>
      <c r="V12" s="45">
        <f t="shared" si="1"/>
        <v>0.83964611233846931</v>
      </c>
      <c r="W12" s="44">
        <f t="shared" si="2"/>
        <v>13139</v>
      </c>
      <c r="X12" s="44">
        <f t="shared" si="3"/>
        <v>1651003800</v>
      </c>
      <c r="Y12" s="43">
        <f t="shared" si="4"/>
        <v>122643.84656366543</v>
      </c>
      <c r="Z12" s="45">
        <f t="shared" si="5"/>
        <v>2.0626859827986444E-2</v>
      </c>
    </row>
    <row r="13" spans="1:26">
      <c r="A13" s="42" t="s">
        <v>99</v>
      </c>
      <c r="B13" s="42" t="s">
        <v>100</v>
      </c>
      <c r="C13" s="42" t="s">
        <v>7</v>
      </c>
      <c r="D13" s="43">
        <v>5156</v>
      </c>
      <c r="E13" s="43">
        <v>69523200</v>
      </c>
      <c r="F13" s="43">
        <v>8345</v>
      </c>
      <c r="G13" s="43">
        <v>860675600</v>
      </c>
      <c r="H13" s="43">
        <v>49</v>
      </c>
      <c r="I13" s="43">
        <v>7318600</v>
      </c>
      <c r="J13" s="43">
        <v>155</v>
      </c>
      <c r="K13" s="43">
        <v>1964200</v>
      </c>
      <c r="L13" s="43">
        <v>259</v>
      </c>
      <c r="M13" s="43">
        <v>346723100</v>
      </c>
      <c r="N13" s="43">
        <v>234</v>
      </c>
      <c r="O13" s="43">
        <v>286822700</v>
      </c>
      <c r="P13" s="43">
        <v>11</v>
      </c>
      <c r="Q13" s="43">
        <v>15077100</v>
      </c>
      <c r="R13" s="43">
        <v>14</v>
      </c>
      <c r="S13" s="43">
        <v>44823300</v>
      </c>
      <c r="T13" s="44">
        <f t="shared" si="0"/>
        <v>13964</v>
      </c>
      <c r="U13" s="44">
        <f t="shared" si="0"/>
        <v>1286204700</v>
      </c>
      <c r="V13" s="45">
        <f t="shared" si="1"/>
        <v>0.67484919002395183</v>
      </c>
      <c r="W13" s="44">
        <f t="shared" si="2"/>
        <v>8394</v>
      </c>
      <c r="X13" s="44">
        <f t="shared" si="3"/>
        <v>912817500</v>
      </c>
      <c r="Y13" s="43">
        <f t="shared" si="4"/>
        <v>103406.50464617585</v>
      </c>
      <c r="Z13" s="45">
        <f t="shared" si="5"/>
        <v>3.4849273991923682E-2</v>
      </c>
    </row>
    <row r="14" spans="1:26">
      <c r="A14" s="42" t="s">
        <v>101</v>
      </c>
      <c r="B14" s="42" t="s">
        <v>102</v>
      </c>
      <c r="C14" s="42" t="s">
        <v>7</v>
      </c>
      <c r="D14" s="43">
        <v>736</v>
      </c>
      <c r="E14" s="43">
        <v>19334600</v>
      </c>
      <c r="F14" s="43">
        <v>4539</v>
      </c>
      <c r="G14" s="43">
        <v>607801900</v>
      </c>
      <c r="H14" s="43">
        <v>166</v>
      </c>
      <c r="I14" s="43">
        <v>23043600</v>
      </c>
      <c r="J14" s="43">
        <v>420</v>
      </c>
      <c r="K14" s="43">
        <v>5842900</v>
      </c>
      <c r="L14" s="43">
        <v>442</v>
      </c>
      <c r="M14" s="43">
        <v>175603300</v>
      </c>
      <c r="N14" s="43">
        <v>403</v>
      </c>
      <c r="O14" s="43">
        <v>147236700</v>
      </c>
      <c r="P14" s="43">
        <v>27</v>
      </c>
      <c r="Q14" s="43">
        <v>20633700</v>
      </c>
      <c r="R14" s="43">
        <v>12</v>
      </c>
      <c r="S14" s="43">
        <v>7732900</v>
      </c>
      <c r="T14" s="44">
        <f t="shared" si="0"/>
        <v>6303</v>
      </c>
      <c r="U14" s="44">
        <f t="shared" si="0"/>
        <v>831626300</v>
      </c>
      <c r="V14" s="45">
        <f t="shared" si="1"/>
        <v>0.75856848202131177</v>
      </c>
      <c r="W14" s="44">
        <f t="shared" si="2"/>
        <v>4705</v>
      </c>
      <c r="X14" s="44">
        <f t="shared" si="3"/>
        <v>638578400</v>
      </c>
      <c r="Y14" s="43">
        <f t="shared" si="4"/>
        <v>134079.80871413389</v>
      </c>
      <c r="Z14" s="45">
        <f t="shared" si="5"/>
        <v>9.2985274756221641E-3</v>
      </c>
    </row>
    <row r="15" spans="1:26">
      <c r="A15" s="42" t="s">
        <v>103</v>
      </c>
      <c r="B15" s="42" t="s">
        <v>104</v>
      </c>
      <c r="C15" s="42" t="s">
        <v>7</v>
      </c>
      <c r="D15" s="43">
        <v>136</v>
      </c>
      <c r="E15" s="43">
        <v>14566200</v>
      </c>
      <c r="F15" s="43">
        <v>2732</v>
      </c>
      <c r="G15" s="43">
        <v>674167700</v>
      </c>
      <c r="H15" s="43">
        <v>2</v>
      </c>
      <c r="I15" s="43">
        <v>749400</v>
      </c>
      <c r="J15" s="43">
        <v>2</v>
      </c>
      <c r="K15" s="43">
        <v>34600</v>
      </c>
      <c r="L15" s="43">
        <v>146</v>
      </c>
      <c r="M15" s="43">
        <v>88426600</v>
      </c>
      <c r="N15" s="43">
        <v>146</v>
      </c>
      <c r="O15" s="43">
        <v>88426600</v>
      </c>
      <c r="P15" s="43"/>
      <c r="Q15" s="43"/>
      <c r="R15" s="43"/>
      <c r="S15" s="43"/>
      <c r="T15" s="44">
        <f t="shared" si="0"/>
        <v>3018</v>
      </c>
      <c r="U15" s="44">
        <f t="shared" si="0"/>
        <v>777944500</v>
      </c>
      <c r="V15" s="45">
        <f t="shared" si="1"/>
        <v>0.86756458847642726</v>
      </c>
      <c r="W15" s="44">
        <f t="shared" si="2"/>
        <v>2734</v>
      </c>
      <c r="X15" s="44">
        <f t="shared" si="3"/>
        <v>674917100</v>
      </c>
      <c r="Y15" s="43">
        <f t="shared" si="4"/>
        <v>246860.6803218727</v>
      </c>
      <c r="Z15" s="45">
        <f t="shared" si="5"/>
        <v>0</v>
      </c>
    </row>
    <row r="16" spans="1:26">
      <c r="A16" s="42" t="s">
        <v>105</v>
      </c>
      <c r="B16" s="42" t="s">
        <v>106</v>
      </c>
      <c r="C16" s="42" t="s">
        <v>7</v>
      </c>
      <c r="D16" s="43">
        <v>77</v>
      </c>
      <c r="E16" s="43">
        <v>62606300</v>
      </c>
      <c r="F16" s="43">
        <v>1575</v>
      </c>
      <c r="G16" s="43">
        <v>1495095500</v>
      </c>
      <c r="H16" s="43"/>
      <c r="I16" s="43"/>
      <c r="J16" s="43"/>
      <c r="K16" s="43"/>
      <c r="L16" s="43">
        <v>8</v>
      </c>
      <c r="M16" s="43">
        <v>3731000</v>
      </c>
      <c r="N16" s="43">
        <v>8</v>
      </c>
      <c r="O16" s="43">
        <v>3731000</v>
      </c>
      <c r="P16" s="43"/>
      <c r="Q16" s="43"/>
      <c r="R16" s="43"/>
      <c r="S16" s="43"/>
      <c r="T16" s="44">
        <f t="shared" si="0"/>
        <v>1660</v>
      </c>
      <c r="U16" s="44">
        <f t="shared" si="0"/>
        <v>1561432800</v>
      </c>
      <c r="V16" s="45">
        <f t="shared" si="1"/>
        <v>0.95751511048057913</v>
      </c>
      <c r="W16" s="44">
        <f t="shared" si="2"/>
        <v>1575</v>
      </c>
      <c r="X16" s="44">
        <f t="shared" si="3"/>
        <v>1495095500</v>
      </c>
      <c r="Y16" s="43">
        <f t="shared" si="4"/>
        <v>949266.98412698414</v>
      </c>
      <c r="Z16" s="45">
        <f t="shared" si="5"/>
        <v>0</v>
      </c>
    </row>
    <row r="17" spans="1:26">
      <c r="A17" s="42" t="s">
        <v>107</v>
      </c>
      <c r="B17" s="42" t="s">
        <v>108</v>
      </c>
      <c r="C17" s="42" t="s">
        <v>7</v>
      </c>
      <c r="D17" s="43">
        <v>214</v>
      </c>
      <c r="E17" s="43">
        <v>50002800</v>
      </c>
      <c r="F17" s="43">
        <v>6526</v>
      </c>
      <c r="G17" s="43">
        <v>3258966500</v>
      </c>
      <c r="H17" s="43"/>
      <c r="I17" s="43"/>
      <c r="J17" s="43"/>
      <c r="K17" s="43"/>
      <c r="L17" s="43">
        <v>197</v>
      </c>
      <c r="M17" s="43">
        <v>97818100</v>
      </c>
      <c r="N17" s="43">
        <v>187</v>
      </c>
      <c r="O17" s="43">
        <v>90548900</v>
      </c>
      <c r="P17" s="43"/>
      <c r="Q17" s="43"/>
      <c r="R17" s="43">
        <v>10</v>
      </c>
      <c r="S17" s="43">
        <v>7269200</v>
      </c>
      <c r="T17" s="44">
        <f t="shared" si="0"/>
        <v>6937</v>
      </c>
      <c r="U17" s="44">
        <f t="shared" si="0"/>
        <v>3406787400</v>
      </c>
      <c r="V17" s="45">
        <f t="shared" si="1"/>
        <v>0.95660988413893977</v>
      </c>
      <c r="W17" s="44">
        <f t="shared" si="2"/>
        <v>6526</v>
      </c>
      <c r="X17" s="44">
        <f t="shared" si="3"/>
        <v>3266235700</v>
      </c>
      <c r="Y17" s="43">
        <f t="shared" si="4"/>
        <v>499381.93380324857</v>
      </c>
      <c r="Z17" s="45">
        <f t="shared" si="5"/>
        <v>2.1337404265379168E-3</v>
      </c>
    </row>
    <row r="18" spans="1:26">
      <c r="A18" s="42" t="s">
        <v>109</v>
      </c>
      <c r="B18" s="42" t="s">
        <v>110</v>
      </c>
      <c r="C18" s="42" t="s">
        <v>7</v>
      </c>
      <c r="D18" s="43">
        <v>1753</v>
      </c>
      <c r="E18" s="43">
        <v>14486300</v>
      </c>
      <c r="F18" s="43">
        <v>2167</v>
      </c>
      <c r="G18" s="43">
        <v>246193900</v>
      </c>
      <c r="H18" s="43">
        <v>56</v>
      </c>
      <c r="I18" s="43">
        <v>6149100</v>
      </c>
      <c r="J18" s="43">
        <v>183</v>
      </c>
      <c r="K18" s="43">
        <v>2257700</v>
      </c>
      <c r="L18" s="43">
        <v>90</v>
      </c>
      <c r="M18" s="43">
        <v>18671400</v>
      </c>
      <c r="N18" s="43">
        <v>85</v>
      </c>
      <c r="O18" s="43">
        <v>15682700</v>
      </c>
      <c r="P18" s="43">
        <v>3</v>
      </c>
      <c r="Q18" s="43">
        <v>2473300</v>
      </c>
      <c r="R18" s="43">
        <v>2</v>
      </c>
      <c r="S18" s="43">
        <v>515400</v>
      </c>
      <c r="T18" s="44">
        <f t="shared" si="0"/>
        <v>4249</v>
      </c>
      <c r="U18" s="44">
        <f t="shared" si="0"/>
        <v>287758400</v>
      </c>
      <c r="V18" s="45">
        <f t="shared" si="1"/>
        <v>0.87692661621693757</v>
      </c>
      <c r="W18" s="44">
        <f t="shared" si="2"/>
        <v>2223</v>
      </c>
      <c r="X18" s="44">
        <f t="shared" si="3"/>
        <v>252858400</v>
      </c>
      <c r="Y18" s="43">
        <f t="shared" si="4"/>
        <v>113514.61988304094</v>
      </c>
      <c r="Z18" s="45">
        <f t="shared" si="5"/>
        <v>1.791085855356438E-3</v>
      </c>
    </row>
    <row r="19" spans="1:26">
      <c r="A19" s="42" t="s">
        <v>111</v>
      </c>
      <c r="B19" s="42" t="s">
        <v>112</v>
      </c>
      <c r="C19" s="42" t="s">
        <v>7</v>
      </c>
      <c r="D19" s="43">
        <v>235</v>
      </c>
      <c r="E19" s="43">
        <v>15284000</v>
      </c>
      <c r="F19" s="43">
        <v>3119</v>
      </c>
      <c r="G19" s="43">
        <v>416990500</v>
      </c>
      <c r="H19" s="43">
        <v>1</v>
      </c>
      <c r="I19" s="43">
        <v>352700</v>
      </c>
      <c r="J19" s="43">
        <v>1</v>
      </c>
      <c r="K19" s="43">
        <v>3600</v>
      </c>
      <c r="L19" s="43">
        <v>216</v>
      </c>
      <c r="M19" s="43">
        <v>120149400</v>
      </c>
      <c r="N19" s="43">
        <v>213</v>
      </c>
      <c r="O19" s="43">
        <v>119606500</v>
      </c>
      <c r="P19" s="43"/>
      <c r="Q19" s="43"/>
      <c r="R19" s="43">
        <v>3</v>
      </c>
      <c r="S19" s="43">
        <v>542900</v>
      </c>
      <c r="T19" s="44">
        <f t="shared" si="0"/>
        <v>3572</v>
      </c>
      <c r="U19" s="44">
        <f t="shared" si="0"/>
        <v>552780200</v>
      </c>
      <c r="V19" s="45">
        <f t="shared" si="1"/>
        <v>0.75498941532276298</v>
      </c>
      <c r="W19" s="44">
        <f t="shared" si="2"/>
        <v>3120</v>
      </c>
      <c r="X19" s="44">
        <f t="shared" si="3"/>
        <v>417886100</v>
      </c>
      <c r="Y19" s="43">
        <f t="shared" si="4"/>
        <v>133763.84615384616</v>
      </c>
      <c r="Z19" s="45">
        <f t="shared" si="5"/>
        <v>9.8212634967750293E-4</v>
      </c>
    </row>
    <row r="20" spans="1:26">
      <c r="A20" s="42" t="s">
        <v>113</v>
      </c>
      <c r="B20" s="42" t="s">
        <v>114</v>
      </c>
      <c r="C20" s="42" t="s">
        <v>7</v>
      </c>
      <c r="D20" s="43">
        <v>465</v>
      </c>
      <c r="E20" s="43">
        <v>13849800</v>
      </c>
      <c r="F20" s="43">
        <v>5072</v>
      </c>
      <c r="G20" s="43">
        <v>362853000</v>
      </c>
      <c r="H20" s="43"/>
      <c r="I20" s="43"/>
      <c r="J20" s="43"/>
      <c r="K20" s="43"/>
      <c r="L20" s="43">
        <v>459</v>
      </c>
      <c r="M20" s="43">
        <v>178284500</v>
      </c>
      <c r="N20" s="43">
        <v>354</v>
      </c>
      <c r="O20" s="43">
        <v>99747900</v>
      </c>
      <c r="P20" s="43">
        <v>82</v>
      </c>
      <c r="Q20" s="43">
        <v>51727400</v>
      </c>
      <c r="R20" s="43">
        <v>23</v>
      </c>
      <c r="S20" s="43">
        <v>26809200</v>
      </c>
      <c r="T20" s="44">
        <f t="shared" si="0"/>
        <v>5996</v>
      </c>
      <c r="U20" s="44">
        <f t="shared" si="0"/>
        <v>554987300</v>
      </c>
      <c r="V20" s="45">
        <f t="shared" si="1"/>
        <v>0.65380415011298454</v>
      </c>
      <c r="W20" s="44">
        <f t="shared" si="2"/>
        <v>5072</v>
      </c>
      <c r="X20" s="44">
        <f t="shared" si="3"/>
        <v>389662200</v>
      </c>
      <c r="Y20" s="43">
        <f t="shared" si="4"/>
        <v>71540.417981072562</v>
      </c>
      <c r="Z20" s="45">
        <f t="shared" si="5"/>
        <v>4.8305970244724522E-2</v>
      </c>
    </row>
    <row r="21" spans="1:26">
      <c r="A21" s="42" t="s">
        <v>115</v>
      </c>
      <c r="B21" s="42" t="s">
        <v>116</v>
      </c>
      <c r="C21" s="42" t="s">
        <v>7</v>
      </c>
      <c r="D21" s="43">
        <v>104</v>
      </c>
      <c r="E21" s="43">
        <v>2329800</v>
      </c>
      <c r="F21" s="43">
        <v>454</v>
      </c>
      <c r="G21" s="43">
        <v>69453100</v>
      </c>
      <c r="H21" s="43">
        <v>6</v>
      </c>
      <c r="I21" s="43">
        <v>1098700</v>
      </c>
      <c r="J21" s="43">
        <v>7</v>
      </c>
      <c r="K21" s="43">
        <v>76100</v>
      </c>
      <c r="L21" s="43">
        <v>11</v>
      </c>
      <c r="M21" s="43">
        <v>2290800</v>
      </c>
      <c r="N21" s="43">
        <v>11</v>
      </c>
      <c r="O21" s="43">
        <v>2290800</v>
      </c>
      <c r="P21" s="43"/>
      <c r="Q21" s="43"/>
      <c r="R21" s="43"/>
      <c r="S21" s="43"/>
      <c r="T21" s="44">
        <f t="shared" si="0"/>
        <v>582</v>
      </c>
      <c r="U21" s="44">
        <f t="shared" si="0"/>
        <v>75248500</v>
      </c>
      <c r="V21" s="45">
        <f t="shared" si="1"/>
        <v>0.93758413788979178</v>
      </c>
      <c r="W21" s="44">
        <f t="shared" si="2"/>
        <v>460</v>
      </c>
      <c r="X21" s="44">
        <f t="shared" si="3"/>
        <v>70551800</v>
      </c>
      <c r="Y21" s="43">
        <f t="shared" si="4"/>
        <v>153373.47826086957</v>
      </c>
      <c r="Z21" s="45">
        <f t="shared" si="5"/>
        <v>0</v>
      </c>
    </row>
    <row r="22" spans="1:26">
      <c r="A22" s="42" t="s">
        <v>117</v>
      </c>
      <c r="B22" s="42" t="s">
        <v>118</v>
      </c>
      <c r="C22" s="42" t="s">
        <v>7</v>
      </c>
      <c r="D22" s="43">
        <v>187</v>
      </c>
      <c r="E22" s="43">
        <v>12735000</v>
      </c>
      <c r="F22" s="43">
        <v>3740</v>
      </c>
      <c r="G22" s="43">
        <v>469806200</v>
      </c>
      <c r="H22" s="43"/>
      <c r="I22" s="43"/>
      <c r="J22" s="43"/>
      <c r="K22" s="43"/>
      <c r="L22" s="43">
        <v>291</v>
      </c>
      <c r="M22" s="43">
        <v>213884900</v>
      </c>
      <c r="N22" s="43">
        <v>277</v>
      </c>
      <c r="O22" s="43">
        <v>172679800</v>
      </c>
      <c r="P22" s="43"/>
      <c r="Q22" s="43"/>
      <c r="R22" s="43">
        <v>14</v>
      </c>
      <c r="S22" s="43">
        <v>41205100</v>
      </c>
      <c r="T22" s="44">
        <f t="shared" si="0"/>
        <v>4218</v>
      </c>
      <c r="U22" s="44">
        <f t="shared" si="0"/>
        <v>696426100</v>
      </c>
      <c r="V22" s="45">
        <f t="shared" si="1"/>
        <v>0.67459591189933865</v>
      </c>
      <c r="W22" s="44">
        <f t="shared" si="2"/>
        <v>3740</v>
      </c>
      <c r="X22" s="44">
        <f t="shared" si="3"/>
        <v>511011300</v>
      </c>
      <c r="Y22" s="43">
        <f t="shared" si="4"/>
        <v>125616.63101604278</v>
      </c>
      <c r="Z22" s="45">
        <f t="shared" si="5"/>
        <v>5.9166507401144215E-2</v>
      </c>
    </row>
    <row r="23" spans="1:26">
      <c r="A23" s="42" t="s">
        <v>119</v>
      </c>
      <c r="B23" s="42" t="s">
        <v>120</v>
      </c>
      <c r="C23" s="42" t="s">
        <v>7</v>
      </c>
      <c r="D23" s="43">
        <v>147</v>
      </c>
      <c r="E23" s="43">
        <v>54747300</v>
      </c>
      <c r="F23" s="43">
        <v>6277</v>
      </c>
      <c r="G23" s="43">
        <v>2507263200</v>
      </c>
      <c r="H23" s="43"/>
      <c r="I23" s="43"/>
      <c r="J23" s="43"/>
      <c r="K23" s="43"/>
      <c r="L23" s="43">
        <v>164</v>
      </c>
      <c r="M23" s="43">
        <v>112222300</v>
      </c>
      <c r="N23" s="43">
        <v>131</v>
      </c>
      <c r="O23" s="43">
        <v>94454500</v>
      </c>
      <c r="P23" s="43">
        <v>2</v>
      </c>
      <c r="Q23" s="43">
        <v>1604100</v>
      </c>
      <c r="R23" s="43">
        <v>31</v>
      </c>
      <c r="S23" s="43">
        <v>16163700</v>
      </c>
      <c r="T23" s="44">
        <f t="shared" si="0"/>
        <v>6588</v>
      </c>
      <c r="U23" s="44">
        <f t="shared" si="0"/>
        <v>2674232800</v>
      </c>
      <c r="V23" s="45">
        <f t="shared" si="1"/>
        <v>0.93756355093692667</v>
      </c>
      <c r="W23" s="44">
        <f t="shared" si="2"/>
        <v>6277</v>
      </c>
      <c r="X23" s="44">
        <f t="shared" si="3"/>
        <v>2523426900</v>
      </c>
      <c r="Y23" s="43">
        <f t="shared" si="4"/>
        <v>399436.54612075834</v>
      </c>
      <c r="Z23" s="45">
        <f t="shared" si="5"/>
        <v>6.0442381830033646E-3</v>
      </c>
    </row>
    <row r="24" spans="1:26">
      <c r="A24" s="42" t="s">
        <v>121</v>
      </c>
      <c r="B24" s="42" t="s">
        <v>122</v>
      </c>
      <c r="C24" s="42" t="s">
        <v>7</v>
      </c>
      <c r="D24" s="43">
        <v>319</v>
      </c>
      <c r="E24" s="43">
        <v>5468900</v>
      </c>
      <c r="F24" s="43">
        <v>654</v>
      </c>
      <c r="G24" s="43">
        <v>78687800</v>
      </c>
      <c r="H24" s="43">
        <v>4</v>
      </c>
      <c r="I24" s="43">
        <v>431300</v>
      </c>
      <c r="J24" s="43">
        <v>5</v>
      </c>
      <c r="K24" s="43">
        <v>28200</v>
      </c>
      <c r="L24" s="43">
        <v>36</v>
      </c>
      <c r="M24" s="43">
        <v>11171600</v>
      </c>
      <c r="N24" s="43">
        <v>33</v>
      </c>
      <c r="O24" s="43">
        <v>9525000</v>
      </c>
      <c r="P24" s="43">
        <v>1</v>
      </c>
      <c r="Q24" s="43">
        <v>206700</v>
      </c>
      <c r="R24" s="43">
        <v>2</v>
      </c>
      <c r="S24" s="43">
        <v>1439900</v>
      </c>
      <c r="T24" s="44">
        <f t="shared" si="0"/>
        <v>1018</v>
      </c>
      <c r="U24" s="44">
        <f t="shared" si="0"/>
        <v>95787800</v>
      </c>
      <c r="V24" s="45">
        <f t="shared" si="1"/>
        <v>0.82598305838530584</v>
      </c>
      <c r="W24" s="44">
        <f t="shared" si="2"/>
        <v>658</v>
      </c>
      <c r="X24" s="44">
        <f t="shared" si="3"/>
        <v>80559000</v>
      </c>
      <c r="Y24" s="43">
        <f t="shared" si="4"/>
        <v>120241.79331306991</v>
      </c>
      <c r="Z24" s="45">
        <f t="shared" si="5"/>
        <v>1.5032185727201167E-2</v>
      </c>
    </row>
    <row r="25" spans="1:26">
      <c r="A25" s="42" t="s">
        <v>123</v>
      </c>
      <c r="B25" s="42" t="s">
        <v>124</v>
      </c>
      <c r="C25" s="42" t="s">
        <v>8</v>
      </c>
      <c r="D25" s="43">
        <v>64</v>
      </c>
      <c r="E25" s="43">
        <v>21320700</v>
      </c>
      <c r="F25" s="43">
        <v>2101</v>
      </c>
      <c r="G25" s="43">
        <v>1123463200</v>
      </c>
      <c r="H25" s="43">
        <v>1</v>
      </c>
      <c r="I25" s="43">
        <v>951900</v>
      </c>
      <c r="J25" s="43">
        <v>5</v>
      </c>
      <c r="K25" s="43">
        <v>656200</v>
      </c>
      <c r="L25" s="43">
        <v>65</v>
      </c>
      <c r="M25" s="43">
        <v>149577500</v>
      </c>
      <c r="N25" s="43">
        <v>52</v>
      </c>
      <c r="O25" s="43">
        <v>87978700</v>
      </c>
      <c r="P25" s="43">
        <v>13</v>
      </c>
      <c r="Q25" s="43">
        <v>61598800</v>
      </c>
      <c r="R25" s="43"/>
      <c r="S25" s="43"/>
      <c r="T25" s="44">
        <f t="shared" si="0"/>
        <v>2236</v>
      </c>
      <c r="U25" s="44">
        <f t="shared" si="0"/>
        <v>1295969500</v>
      </c>
      <c r="V25" s="45">
        <f t="shared" si="1"/>
        <v>0.8676246624631212</v>
      </c>
      <c r="W25" s="44">
        <f t="shared" si="2"/>
        <v>2102</v>
      </c>
      <c r="X25" s="44">
        <f t="shared" si="3"/>
        <v>1124415100</v>
      </c>
      <c r="Y25" s="43">
        <f t="shared" si="4"/>
        <v>534926.3082778306</v>
      </c>
      <c r="Z25" s="45">
        <f t="shared" si="5"/>
        <v>0</v>
      </c>
    </row>
    <row r="26" spans="1:26">
      <c r="A26" s="42" t="s">
        <v>125</v>
      </c>
      <c r="B26" s="42" t="s">
        <v>126</v>
      </c>
      <c r="C26" s="42" t="s">
        <v>8</v>
      </c>
      <c r="D26" s="43">
        <v>73</v>
      </c>
      <c r="E26" s="43">
        <v>125001500</v>
      </c>
      <c r="F26" s="43">
        <v>646</v>
      </c>
      <c r="G26" s="43">
        <v>1642416500</v>
      </c>
      <c r="H26" s="43"/>
      <c r="I26" s="43"/>
      <c r="J26" s="43"/>
      <c r="K26" s="43"/>
      <c r="L26" s="43">
        <v>19</v>
      </c>
      <c r="M26" s="43">
        <v>94794300</v>
      </c>
      <c r="N26" s="43">
        <v>19</v>
      </c>
      <c r="O26" s="43">
        <v>94794300</v>
      </c>
      <c r="P26" s="43"/>
      <c r="Q26" s="43"/>
      <c r="R26" s="43"/>
      <c r="S26" s="43"/>
      <c r="T26" s="44">
        <f t="shared" si="0"/>
        <v>738</v>
      </c>
      <c r="U26" s="44">
        <f t="shared" si="0"/>
        <v>1862212300</v>
      </c>
      <c r="V26" s="45">
        <f t="shared" si="1"/>
        <v>0.88197060023714802</v>
      </c>
      <c r="W26" s="44">
        <f t="shared" si="2"/>
        <v>646</v>
      </c>
      <c r="X26" s="44">
        <f t="shared" si="3"/>
        <v>1642416500</v>
      </c>
      <c r="Y26" s="43">
        <f t="shared" si="4"/>
        <v>2542440.4024767801</v>
      </c>
      <c r="Z26" s="45">
        <f t="shared" si="5"/>
        <v>0</v>
      </c>
    </row>
    <row r="27" spans="1:26">
      <c r="A27" s="42" t="s">
        <v>127</v>
      </c>
      <c r="B27" s="42" t="s">
        <v>128</v>
      </c>
      <c r="C27" s="42" t="s">
        <v>8</v>
      </c>
      <c r="D27" s="43">
        <v>60</v>
      </c>
      <c r="E27" s="43">
        <v>11884900</v>
      </c>
      <c r="F27" s="43">
        <v>6969</v>
      </c>
      <c r="G27" s="43">
        <v>2104378855</v>
      </c>
      <c r="H27" s="43"/>
      <c r="I27" s="43"/>
      <c r="J27" s="43"/>
      <c r="K27" s="43"/>
      <c r="L27" s="43">
        <v>357</v>
      </c>
      <c r="M27" s="43">
        <v>302738000</v>
      </c>
      <c r="N27" s="43">
        <v>257</v>
      </c>
      <c r="O27" s="43">
        <v>194740800</v>
      </c>
      <c r="P27" s="43">
        <v>50</v>
      </c>
      <c r="Q27" s="43">
        <v>33388800</v>
      </c>
      <c r="R27" s="43">
        <v>50</v>
      </c>
      <c r="S27" s="43">
        <v>74608400</v>
      </c>
      <c r="T27" s="44">
        <f t="shared" si="0"/>
        <v>7386</v>
      </c>
      <c r="U27" s="44">
        <f t="shared" si="0"/>
        <v>2419001755</v>
      </c>
      <c r="V27" s="45">
        <f t="shared" si="1"/>
        <v>0.86993688642445821</v>
      </c>
      <c r="W27" s="44">
        <f t="shared" si="2"/>
        <v>6969</v>
      </c>
      <c r="X27" s="44">
        <f t="shared" si="3"/>
        <v>2178987255</v>
      </c>
      <c r="Y27" s="43">
        <f t="shared" si="4"/>
        <v>301962.81460754771</v>
      </c>
      <c r="Z27" s="45">
        <f t="shared" si="5"/>
        <v>3.0842639880598186E-2</v>
      </c>
    </row>
    <row r="28" spans="1:26">
      <c r="A28" s="42" t="s">
        <v>129</v>
      </c>
      <c r="B28" s="42" t="s">
        <v>130</v>
      </c>
      <c r="C28" s="42" t="s">
        <v>8</v>
      </c>
      <c r="D28" s="43">
        <v>52</v>
      </c>
      <c r="E28" s="43">
        <v>2791700</v>
      </c>
      <c r="F28" s="43">
        <v>2022</v>
      </c>
      <c r="G28" s="43">
        <v>396497975</v>
      </c>
      <c r="H28" s="43"/>
      <c r="I28" s="43"/>
      <c r="J28" s="43"/>
      <c r="K28" s="43"/>
      <c r="L28" s="43">
        <v>130</v>
      </c>
      <c r="M28" s="43">
        <v>75442900</v>
      </c>
      <c r="N28" s="43">
        <v>92</v>
      </c>
      <c r="O28" s="43">
        <v>36227800</v>
      </c>
      <c r="P28" s="43">
        <v>13</v>
      </c>
      <c r="Q28" s="43">
        <v>14550200</v>
      </c>
      <c r="R28" s="43">
        <v>25</v>
      </c>
      <c r="S28" s="43">
        <v>24664900</v>
      </c>
      <c r="T28" s="44">
        <f t="shared" si="0"/>
        <v>2204</v>
      </c>
      <c r="U28" s="44">
        <f t="shared" si="0"/>
        <v>474732575</v>
      </c>
      <c r="V28" s="45">
        <f t="shared" si="1"/>
        <v>0.83520279812271148</v>
      </c>
      <c r="W28" s="44">
        <f t="shared" si="2"/>
        <v>2022</v>
      </c>
      <c r="X28" s="44">
        <f t="shared" si="3"/>
        <v>421162875</v>
      </c>
      <c r="Y28" s="43">
        <f t="shared" si="4"/>
        <v>196091.97576656775</v>
      </c>
      <c r="Z28" s="45">
        <f t="shared" si="5"/>
        <v>5.1955356128658328E-2</v>
      </c>
    </row>
    <row r="29" spans="1:26">
      <c r="A29" s="42" t="s">
        <v>131</v>
      </c>
      <c r="B29" s="42" t="s">
        <v>132</v>
      </c>
      <c r="C29" s="42" t="s">
        <v>8</v>
      </c>
      <c r="D29" s="43">
        <v>97</v>
      </c>
      <c r="E29" s="43">
        <v>17591430</v>
      </c>
      <c r="F29" s="43">
        <v>1544</v>
      </c>
      <c r="G29" s="43">
        <v>242799307</v>
      </c>
      <c r="H29" s="43"/>
      <c r="I29" s="43"/>
      <c r="J29" s="43"/>
      <c r="K29" s="43"/>
      <c r="L29" s="43">
        <v>451</v>
      </c>
      <c r="M29" s="43">
        <v>708197290</v>
      </c>
      <c r="N29" s="43">
        <v>144</v>
      </c>
      <c r="O29" s="43">
        <v>190984410</v>
      </c>
      <c r="P29" s="43">
        <v>292</v>
      </c>
      <c r="Q29" s="43">
        <v>511520980</v>
      </c>
      <c r="R29" s="43">
        <v>15</v>
      </c>
      <c r="S29" s="43">
        <v>5691900</v>
      </c>
      <c r="T29" s="44">
        <f t="shared" si="0"/>
        <v>2092</v>
      </c>
      <c r="U29" s="44">
        <f t="shared" si="0"/>
        <v>968588027</v>
      </c>
      <c r="V29" s="45">
        <f t="shared" si="1"/>
        <v>0.25067345479379954</v>
      </c>
      <c r="W29" s="44">
        <f t="shared" si="2"/>
        <v>1544</v>
      </c>
      <c r="X29" s="44">
        <f t="shared" si="3"/>
        <v>248491207</v>
      </c>
      <c r="Y29" s="43">
        <f t="shared" si="4"/>
        <v>157253.43717616581</v>
      </c>
      <c r="Z29" s="45">
        <f t="shared" si="5"/>
        <v>5.8764922147855544E-3</v>
      </c>
    </row>
    <row r="30" spans="1:26">
      <c r="A30" s="42" t="s">
        <v>133</v>
      </c>
      <c r="B30" s="42" t="s">
        <v>134</v>
      </c>
      <c r="C30" s="42" t="s">
        <v>8</v>
      </c>
      <c r="D30" s="43">
        <v>102</v>
      </c>
      <c r="E30" s="43">
        <v>7707000</v>
      </c>
      <c r="F30" s="43">
        <v>6337</v>
      </c>
      <c r="G30" s="43">
        <v>2105334300</v>
      </c>
      <c r="H30" s="43"/>
      <c r="I30" s="43"/>
      <c r="J30" s="43"/>
      <c r="K30" s="43"/>
      <c r="L30" s="43">
        <v>406</v>
      </c>
      <c r="M30" s="43">
        <v>344881100</v>
      </c>
      <c r="N30" s="43">
        <v>241</v>
      </c>
      <c r="O30" s="43">
        <v>135715000</v>
      </c>
      <c r="P30" s="43">
        <v>7</v>
      </c>
      <c r="Q30" s="43">
        <v>5502700</v>
      </c>
      <c r="R30" s="43">
        <v>158</v>
      </c>
      <c r="S30" s="43">
        <v>203663400</v>
      </c>
      <c r="T30" s="44">
        <f t="shared" si="0"/>
        <v>6845</v>
      </c>
      <c r="U30" s="44">
        <f t="shared" si="0"/>
        <v>2457922400</v>
      </c>
      <c r="V30" s="45">
        <f t="shared" si="1"/>
        <v>0.85655035325769435</v>
      </c>
      <c r="W30" s="44">
        <f t="shared" si="2"/>
        <v>6337</v>
      </c>
      <c r="X30" s="44">
        <f t="shared" si="3"/>
        <v>2308997700</v>
      </c>
      <c r="Y30" s="43">
        <f t="shared" si="4"/>
        <v>332228.86223765189</v>
      </c>
      <c r="Z30" s="45">
        <f t="shared" si="5"/>
        <v>8.2859979631578276E-2</v>
      </c>
    </row>
    <row r="31" spans="1:26">
      <c r="A31" s="42" t="s">
        <v>135</v>
      </c>
      <c r="B31" s="42" t="s">
        <v>136</v>
      </c>
      <c r="C31" s="42" t="s">
        <v>8</v>
      </c>
      <c r="D31" s="43">
        <v>87</v>
      </c>
      <c r="E31" s="43">
        <v>37719700</v>
      </c>
      <c r="F31" s="43">
        <v>2678</v>
      </c>
      <c r="G31" s="43">
        <v>2098226600</v>
      </c>
      <c r="H31" s="43">
        <v>4</v>
      </c>
      <c r="I31" s="43">
        <v>4930100</v>
      </c>
      <c r="J31" s="43">
        <v>4</v>
      </c>
      <c r="K31" s="43">
        <v>30500</v>
      </c>
      <c r="L31" s="43">
        <v>169</v>
      </c>
      <c r="M31" s="43">
        <v>228108800</v>
      </c>
      <c r="N31" s="43">
        <v>160</v>
      </c>
      <c r="O31" s="43">
        <v>208793300</v>
      </c>
      <c r="P31" s="43">
        <v>8</v>
      </c>
      <c r="Q31" s="43">
        <v>18309800</v>
      </c>
      <c r="R31" s="43">
        <v>1</v>
      </c>
      <c r="S31" s="43">
        <v>1005700</v>
      </c>
      <c r="T31" s="44">
        <f t="shared" si="0"/>
        <v>2942</v>
      </c>
      <c r="U31" s="44">
        <f t="shared" si="0"/>
        <v>2369015700</v>
      </c>
      <c r="V31" s="45">
        <f t="shared" si="1"/>
        <v>0.88777659852570834</v>
      </c>
      <c r="W31" s="44">
        <f t="shared" si="2"/>
        <v>2682</v>
      </c>
      <c r="X31" s="44">
        <f t="shared" si="3"/>
        <v>2104162400</v>
      </c>
      <c r="Y31" s="43">
        <f t="shared" si="4"/>
        <v>784174.75764354959</v>
      </c>
      <c r="Z31" s="45">
        <f t="shared" si="5"/>
        <v>4.2452230265928586E-4</v>
      </c>
    </row>
    <row r="32" spans="1:26">
      <c r="A32" s="42" t="s">
        <v>137</v>
      </c>
      <c r="B32" s="42" t="s">
        <v>138</v>
      </c>
      <c r="C32" s="42" t="s">
        <v>8</v>
      </c>
      <c r="D32" s="43">
        <v>96</v>
      </c>
      <c r="E32" s="43">
        <v>29370600</v>
      </c>
      <c r="F32" s="43">
        <v>2716</v>
      </c>
      <c r="G32" s="43">
        <v>1623996100</v>
      </c>
      <c r="H32" s="43"/>
      <c r="I32" s="43"/>
      <c r="J32" s="43"/>
      <c r="K32" s="43"/>
      <c r="L32" s="43">
        <v>90</v>
      </c>
      <c r="M32" s="43">
        <v>139279700</v>
      </c>
      <c r="N32" s="43">
        <v>83</v>
      </c>
      <c r="O32" s="43">
        <v>129953800</v>
      </c>
      <c r="P32" s="43">
        <v>2</v>
      </c>
      <c r="Q32" s="43">
        <v>3985100</v>
      </c>
      <c r="R32" s="43">
        <v>5</v>
      </c>
      <c r="S32" s="43">
        <v>5340800</v>
      </c>
      <c r="T32" s="44">
        <f t="shared" si="0"/>
        <v>2902</v>
      </c>
      <c r="U32" s="44">
        <f t="shared" si="0"/>
        <v>1792646400</v>
      </c>
      <c r="V32" s="45">
        <f t="shared" si="1"/>
        <v>0.90592104499805426</v>
      </c>
      <c r="W32" s="44">
        <f t="shared" si="2"/>
        <v>2716</v>
      </c>
      <c r="X32" s="44">
        <f t="shared" si="3"/>
        <v>1629336900</v>
      </c>
      <c r="Y32" s="43">
        <f t="shared" si="4"/>
        <v>597936.7083946981</v>
      </c>
      <c r="Z32" s="45">
        <f t="shared" si="5"/>
        <v>2.9792824731079146E-3</v>
      </c>
    </row>
    <row r="33" spans="1:26">
      <c r="A33" s="42" t="s">
        <v>139</v>
      </c>
      <c r="B33" s="42" t="s">
        <v>140</v>
      </c>
      <c r="C33" s="42" t="s">
        <v>8</v>
      </c>
      <c r="D33" s="43">
        <v>64</v>
      </c>
      <c r="E33" s="43">
        <v>21534400</v>
      </c>
      <c r="F33" s="43">
        <v>1612</v>
      </c>
      <c r="G33" s="43">
        <v>1113563000</v>
      </c>
      <c r="H33" s="43"/>
      <c r="I33" s="43"/>
      <c r="J33" s="43"/>
      <c r="K33" s="43"/>
      <c r="L33" s="43">
        <v>9</v>
      </c>
      <c r="M33" s="43">
        <v>38379400</v>
      </c>
      <c r="N33" s="43">
        <v>8</v>
      </c>
      <c r="O33" s="43">
        <v>37029400</v>
      </c>
      <c r="P33" s="43"/>
      <c r="Q33" s="43"/>
      <c r="R33" s="43">
        <v>1</v>
      </c>
      <c r="S33" s="43">
        <v>1350000</v>
      </c>
      <c r="T33" s="44">
        <f t="shared" si="0"/>
        <v>1685</v>
      </c>
      <c r="U33" s="44">
        <f t="shared" si="0"/>
        <v>1173476800</v>
      </c>
      <c r="V33" s="45">
        <f t="shared" si="1"/>
        <v>0.94894334510916623</v>
      </c>
      <c r="W33" s="44">
        <f t="shared" si="2"/>
        <v>1612</v>
      </c>
      <c r="X33" s="44">
        <f t="shared" si="3"/>
        <v>1114913000</v>
      </c>
      <c r="Y33" s="43">
        <f t="shared" si="4"/>
        <v>690795.90570719598</v>
      </c>
      <c r="Z33" s="45">
        <f t="shared" si="5"/>
        <v>1.1504275159082821E-3</v>
      </c>
    </row>
    <row r="34" spans="1:26">
      <c r="A34" s="42" t="s">
        <v>141</v>
      </c>
      <c r="B34" s="42" t="s">
        <v>142</v>
      </c>
      <c r="C34" s="42" t="s">
        <v>8</v>
      </c>
      <c r="D34" s="43">
        <v>15</v>
      </c>
      <c r="E34" s="43">
        <v>1141800</v>
      </c>
      <c r="F34" s="43">
        <v>4977</v>
      </c>
      <c r="G34" s="43">
        <v>1907992400</v>
      </c>
      <c r="H34" s="43"/>
      <c r="I34" s="43"/>
      <c r="J34" s="43">
        <v>1</v>
      </c>
      <c r="K34" s="43">
        <v>10500</v>
      </c>
      <c r="L34" s="43">
        <v>180</v>
      </c>
      <c r="M34" s="43">
        <v>174964900</v>
      </c>
      <c r="N34" s="43">
        <v>144</v>
      </c>
      <c r="O34" s="43">
        <v>98896200</v>
      </c>
      <c r="P34" s="43">
        <v>11</v>
      </c>
      <c r="Q34" s="43">
        <v>6762200</v>
      </c>
      <c r="R34" s="43">
        <v>25</v>
      </c>
      <c r="S34" s="43">
        <v>69306500</v>
      </c>
      <c r="T34" s="44">
        <f t="shared" si="0"/>
        <v>5173</v>
      </c>
      <c r="U34" s="44">
        <f t="shared" si="0"/>
        <v>2084109600</v>
      </c>
      <c r="V34" s="45">
        <f t="shared" si="1"/>
        <v>0.91549523115291054</v>
      </c>
      <c r="W34" s="44">
        <f t="shared" si="2"/>
        <v>4977</v>
      </c>
      <c r="X34" s="44">
        <f t="shared" si="3"/>
        <v>1977298900</v>
      </c>
      <c r="Y34" s="43">
        <f t="shared" si="4"/>
        <v>383361.94494675507</v>
      </c>
      <c r="Z34" s="45">
        <f t="shared" si="5"/>
        <v>3.3254729021928595E-2</v>
      </c>
    </row>
    <row r="35" spans="1:26">
      <c r="A35" s="42" t="s">
        <v>143</v>
      </c>
      <c r="B35" s="42" t="s">
        <v>144</v>
      </c>
      <c r="C35" s="42" t="s">
        <v>8</v>
      </c>
      <c r="D35" s="43">
        <v>109</v>
      </c>
      <c r="E35" s="43">
        <v>26194300</v>
      </c>
      <c r="F35" s="43">
        <v>4650</v>
      </c>
      <c r="G35" s="43">
        <v>1553311900</v>
      </c>
      <c r="H35" s="43"/>
      <c r="I35" s="43"/>
      <c r="J35" s="43"/>
      <c r="K35" s="43"/>
      <c r="L35" s="43">
        <v>300</v>
      </c>
      <c r="M35" s="43">
        <v>470733500</v>
      </c>
      <c r="N35" s="43">
        <v>222</v>
      </c>
      <c r="O35" s="43">
        <v>290844300</v>
      </c>
      <c r="P35" s="43">
        <v>58</v>
      </c>
      <c r="Q35" s="43">
        <v>116621500</v>
      </c>
      <c r="R35" s="43">
        <v>20</v>
      </c>
      <c r="S35" s="43">
        <v>63267700</v>
      </c>
      <c r="T35" s="44">
        <f t="shared" si="0"/>
        <v>5059</v>
      </c>
      <c r="U35" s="44">
        <f t="shared" si="0"/>
        <v>2050239700</v>
      </c>
      <c r="V35" s="45">
        <f t="shared" si="1"/>
        <v>0.75762453531652907</v>
      </c>
      <c r="W35" s="44">
        <f t="shared" si="2"/>
        <v>4650</v>
      </c>
      <c r="X35" s="44">
        <f t="shared" si="3"/>
        <v>1616579600</v>
      </c>
      <c r="Y35" s="43">
        <f t="shared" si="4"/>
        <v>334045.56989247311</v>
      </c>
      <c r="Z35" s="45">
        <f t="shared" si="5"/>
        <v>3.0858684474795801E-2</v>
      </c>
    </row>
    <row r="36" spans="1:26">
      <c r="A36" s="42" t="s">
        <v>145</v>
      </c>
      <c r="B36" s="42" t="s">
        <v>146</v>
      </c>
      <c r="C36" s="42" t="s">
        <v>8</v>
      </c>
      <c r="D36" s="43">
        <v>66</v>
      </c>
      <c r="E36" s="43">
        <v>20490500</v>
      </c>
      <c r="F36" s="43">
        <v>1917</v>
      </c>
      <c r="G36" s="43">
        <v>280089160</v>
      </c>
      <c r="H36" s="43"/>
      <c r="I36" s="43"/>
      <c r="J36" s="43"/>
      <c r="K36" s="43"/>
      <c r="L36" s="43">
        <v>297</v>
      </c>
      <c r="M36" s="43">
        <v>632285971</v>
      </c>
      <c r="N36" s="43">
        <v>168</v>
      </c>
      <c r="O36" s="43">
        <v>294412871</v>
      </c>
      <c r="P36" s="43">
        <v>94</v>
      </c>
      <c r="Q36" s="43">
        <v>291950000</v>
      </c>
      <c r="R36" s="43">
        <v>35</v>
      </c>
      <c r="S36" s="43">
        <v>45923100</v>
      </c>
      <c r="T36" s="44">
        <f t="shared" si="0"/>
        <v>2280</v>
      </c>
      <c r="U36" s="44">
        <f t="shared" si="0"/>
        <v>932865631</v>
      </c>
      <c r="V36" s="45">
        <f t="shared" si="1"/>
        <v>0.30024598472960573</v>
      </c>
      <c r="W36" s="44">
        <f t="shared" si="2"/>
        <v>1917</v>
      </c>
      <c r="X36" s="44">
        <f t="shared" si="3"/>
        <v>326012260</v>
      </c>
      <c r="Y36" s="43">
        <f t="shared" si="4"/>
        <v>146108.06468440272</v>
      </c>
      <c r="Z36" s="45">
        <f t="shared" si="5"/>
        <v>4.92279900490835E-2</v>
      </c>
    </row>
    <row r="37" spans="1:26">
      <c r="A37" s="42" t="s">
        <v>147</v>
      </c>
      <c r="B37" s="42" t="s">
        <v>148</v>
      </c>
      <c r="C37" s="42" t="s">
        <v>8</v>
      </c>
      <c r="D37" s="43">
        <v>172</v>
      </c>
      <c r="E37" s="43">
        <v>52490700</v>
      </c>
      <c r="F37" s="43">
        <v>3197</v>
      </c>
      <c r="G37" s="43">
        <v>1760369900</v>
      </c>
      <c r="H37" s="43"/>
      <c r="I37" s="43"/>
      <c r="J37" s="43"/>
      <c r="K37" s="43"/>
      <c r="L37" s="43">
        <v>169</v>
      </c>
      <c r="M37" s="43">
        <v>1207672000</v>
      </c>
      <c r="N37" s="43">
        <v>110</v>
      </c>
      <c r="O37" s="43">
        <v>613151200</v>
      </c>
      <c r="P37" s="43">
        <v>12</v>
      </c>
      <c r="Q37" s="43">
        <v>42425700</v>
      </c>
      <c r="R37" s="43">
        <v>47</v>
      </c>
      <c r="S37" s="43">
        <v>552095100</v>
      </c>
      <c r="T37" s="44">
        <f t="shared" si="0"/>
        <v>3538</v>
      </c>
      <c r="U37" s="44">
        <f t="shared" si="0"/>
        <v>3020532600</v>
      </c>
      <c r="V37" s="45">
        <f t="shared" si="1"/>
        <v>0.58280115897441398</v>
      </c>
      <c r="W37" s="44">
        <f t="shared" si="2"/>
        <v>3197</v>
      </c>
      <c r="X37" s="44">
        <f t="shared" si="3"/>
        <v>2312465000</v>
      </c>
      <c r="Y37" s="43">
        <f t="shared" si="4"/>
        <v>550631.81107288087</v>
      </c>
      <c r="Z37" s="45">
        <f t="shared" si="5"/>
        <v>0.18278071224922388</v>
      </c>
    </row>
    <row r="38" spans="1:26">
      <c r="A38" s="42" t="s">
        <v>149</v>
      </c>
      <c r="B38" s="42" t="s">
        <v>150</v>
      </c>
      <c r="C38" s="42" t="s">
        <v>8</v>
      </c>
      <c r="D38" s="43">
        <v>85</v>
      </c>
      <c r="E38" s="43">
        <v>20893500</v>
      </c>
      <c r="F38" s="43">
        <v>2306</v>
      </c>
      <c r="G38" s="43">
        <v>1193607300</v>
      </c>
      <c r="H38" s="43">
        <v>1</v>
      </c>
      <c r="I38" s="43">
        <v>276700</v>
      </c>
      <c r="J38" s="43">
        <v>1</v>
      </c>
      <c r="K38" s="43">
        <v>5100</v>
      </c>
      <c r="L38" s="43">
        <v>142</v>
      </c>
      <c r="M38" s="43">
        <v>164838700</v>
      </c>
      <c r="N38" s="43">
        <v>132</v>
      </c>
      <c r="O38" s="43">
        <v>159952700</v>
      </c>
      <c r="P38" s="43">
        <v>10</v>
      </c>
      <c r="Q38" s="43">
        <v>4886000</v>
      </c>
      <c r="R38" s="43"/>
      <c r="S38" s="43"/>
      <c r="T38" s="44">
        <f t="shared" si="0"/>
        <v>2535</v>
      </c>
      <c r="U38" s="44">
        <f t="shared" si="0"/>
        <v>1379621300</v>
      </c>
      <c r="V38" s="45">
        <f t="shared" si="1"/>
        <v>0.86537080864147287</v>
      </c>
      <c r="W38" s="44">
        <f t="shared" si="2"/>
        <v>2307</v>
      </c>
      <c r="X38" s="44">
        <f t="shared" si="3"/>
        <v>1193884000</v>
      </c>
      <c r="Y38" s="43">
        <f t="shared" si="4"/>
        <v>517504.98482878198</v>
      </c>
      <c r="Z38" s="45">
        <f t="shared" si="5"/>
        <v>0</v>
      </c>
    </row>
    <row r="39" spans="1:26">
      <c r="A39" s="42" t="s">
        <v>151</v>
      </c>
      <c r="B39" s="42" t="s">
        <v>152</v>
      </c>
      <c r="C39" s="42" t="s">
        <v>8</v>
      </c>
      <c r="D39" s="43">
        <v>118</v>
      </c>
      <c r="E39" s="43">
        <v>27421700</v>
      </c>
      <c r="F39" s="43">
        <v>6708</v>
      </c>
      <c r="G39" s="43">
        <v>3817259000</v>
      </c>
      <c r="H39" s="43"/>
      <c r="I39" s="43"/>
      <c r="J39" s="43"/>
      <c r="K39" s="43"/>
      <c r="L39" s="43">
        <v>706</v>
      </c>
      <c r="M39" s="43">
        <v>1368013900</v>
      </c>
      <c r="N39" s="43">
        <v>522</v>
      </c>
      <c r="O39" s="43">
        <v>768746400</v>
      </c>
      <c r="P39" s="43">
        <v>129</v>
      </c>
      <c r="Q39" s="43">
        <v>400016900</v>
      </c>
      <c r="R39" s="43">
        <v>55</v>
      </c>
      <c r="S39" s="43">
        <v>199250600</v>
      </c>
      <c r="T39" s="44">
        <f t="shared" si="0"/>
        <v>7532</v>
      </c>
      <c r="U39" s="44">
        <f t="shared" si="0"/>
        <v>5212694600</v>
      </c>
      <c r="V39" s="45">
        <f t="shared" si="1"/>
        <v>0.73230052648777855</v>
      </c>
      <c r="W39" s="44">
        <f t="shared" si="2"/>
        <v>6708</v>
      </c>
      <c r="X39" s="44">
        <f t="shared" si="3"/>
        <v>4016509600</v>
      </c>
      <c r="Y39" s="43">
        <f t="shared" si="4"/>
        <v>569060.67382230167</v>
      </c>
      <c r="Z39" s="45">
        <f t="shared" si="5"/>
        <v>3.8224107738826674E-2</v>
      </c>
    </row>
    <row r="40" spans="1:26">
      <c r="A40" s="42" t="s">
        <v>153</v>
      </c>
      <c r="B40" s="42" t="s">
        <v>154</v>
      </c>
      <c r="C40" s="42" t="s">
        <v>8</v>
      </c>
      <c r="D40" s="43">
        <v>66</v>
      </c>
      <c r="E40" s="43">
        <v>62999000</v>
      </c>
      <c r="F40" s="43">
        <v>1915</v>
      </c>
      <c r="G40" s="43">
        <v>2386943400</v>
      </c>
      <c r="H40" s="43"/>
      <c r="I40" s="43"/>
      <c r="J40" s="43"/>
      <c r="K40" s="43"/>
      <c r="L40" s="43">
        <v>127</v>
      </c>
      <c r="M40" s="43">
        <v>990620300</v>
      </c>
      <c r="N40" s="43">
        <v>125</v>
      </c>
      <c r="O40" s="43">
        <v>986983800</v>
      </c>
      <c r="P40" s="43">
        <v>1</v>
      </c>
      <c r="Q40" s="43">
        <v>1886500</v>
      </c>
      <c r="R40" s="43">
        <v>1</v>
      </c>
      <c r="S40" s="43">
        <v>1750000</v>
      </c>
      <c r="T40" s="44">
        <f t="shared" si="0"/>
        <v>2108</v>
      </c>
      <c r="U40" s="44">
        <f t="shared" si="0"/>
        <v>3440562700</v>
      </c>
      <c r="V40" s="45">
        <f t="shared" si="1"/>
        <v>0.69376541226817345</v>
      </c>
      <c r="W40" s="44">
        <f t="shared" si="2"/>
        <v>1915</v>
      </c>
      <c r="X40" s="44">
        <f t="shared" si="3"/>
        <v>2388693400</v>
      </c>
      <c r="Y40" s="43">
        <f t="shared" si="4"/>
        <v>1246445.6396866841</v>
      </c>
      <c r="Z40" s="45">
        <f t="shared" si="5"/>
        <v>5.0863772952023224E-4</v>
      </c>
    </row>
    <row r="41" spans="1:26">
      <c r="A41" s="42" t="s">
        <v>155</v>
      </c>
      <c r="B41" s="42" t="s">
        <v>156</v>
      </c>
      <c r="C41" s="42" t="s">
        <v>8</v>
      </c>
      <c r="D41" s="43">
        <v>134</v>
      </c>
      <c r="E41" s="43">
        <v>30140600</v>
      </c>
      <c r="F41" s="43">
        <v>10203</v>
      </c>
      <c r="G41" s="43">
        <v>4174425200</v>
      </c>
      <c r="H41" s="43"/>
      <c r="I41" s="43"/>
      <c r="J41" s="43"/>
      <c r="K41" s="43"/>
      <c r="L41" s="43">
        <v>490</v>
      </c>
      <c r="M41" s="43">
        <v>864906700</v>
      </c>
      <c r="N41" s="43">
        <v>401</v>
      </c>
      <c r="O41" s="43">
        <v>501403300</v>
      </c>
      <c r="P41" s="43">
        <v>76</v>
      </c>
      <c r="Q41" s="43">
        <v>218628700</v>
      </c>
      <c r="R41" s="43">
        <v>13</v>
      </c>
      <c r="S41" s="43">
        <v>144874700</v>
      </c>
      <c r="T41" s="44">
        <f t="shared" si="0"/>
        <v>10827</v>
      </c>
      <c r="U41" s="44">
        <f t="shared" si="0"/>
        <v>5069472500</v>
      </c>
      <c r="V41" s="45">
        <f t="shared" si="1"/>
        <v>0.82344370148965207</v>
      </c>
      <c r="W41" s="44">
        <f t="shared" si="2"/>
        <v>10203</v>
      </c>
      <c r="X41" s="44">
        <f t="shared" si="3"/>
        <v>4319299900</v>
      </c>
      <c r="Y41" s="43">
        <f t="shared" si="4"/>
        <v>409137.03812604136</v>
      </c>
      <c r="Z41" s="45">
        <f t="shared" si="5"/>
        <v>2.8577864856747917E-2</v>
      </c>
    </row>
    <row r="42" spans="1:26">
      <c r="A42" s="42" t="s">
        <v>157</v>
      </c>
      <c r="B42" s="42" t="s">
        <v>158</v>
      </c>
      <c r="C42" s="42" t="s">
        <v>8</v>
      </c>
      <c r="D42" s="43">
        <v>69</v>
      </c>
      <c r="E42" s="43">
        <v>6654300</v>
      </c>
      <c r="F42" s="43">
        <v>2096</v>
      </c>
      <c r="G42" s="43">
        <v>393768000</v>
      </c>
      <c r="H42" s="43"/>
      <c r="I42" s="43"/>
      <c r="J42" s="43"/>
      <c r="K42" s="43"/>
      <c r="L42" s="43">
        <v>435</v>
      </c>
      <c r="M42" s="43">
        <v>221542800</v>
      </c>
      <c r="N42" s="43">
        <v>202</v>
      </c>
      <c r="O42" s="43">
        <v>109705800</v>
      </c>
      <c r="P42" s="43">
        <v>110</v>
      </c>
      <c r="Q42" s="43">
        <v>45055600</v>
      </c>
      <c r="R42" s="43">
        <v>123</v>
      </c>
      <c r="S42" s="43">
        <v>66781400</v>
      </c>
      <c r="T42" s="44">
        <f t="shared" si="0"/>
        <v>2600</v>
      </c>
      <c r="U42" s="44">
        <f t="shared" si="0"/>
        <v>621965100</v>
      </c>
      <c r="V42" s="45">
        <f t="shared" si="1"/>
        <v>0.63310304710023124</v>
      </c>
      <c r="W42" s="44">
        <f t="shared" si="2"/>
        <v>2096</v>
      </c>
      <c r="X42" s="44">
        <f t="shared" si="3"/>
        <v>460549400</v>
      </c>
      <c r="Y42" s="43">
        <f t="shared" si="4"/>
        <v>187866.41221374046</v>
      </c>
      <c r="Z42" s="45">
        <f t="shared" si="5"/>
        <v>0.10737161940436851</v>
      </c>
    </row>
    <row r="43" spans="1:26">
      <c r="A43" s="42" t="s">
        <v>159</v>
      </c>
      <c r="B43" s="42" t="s">
        <v>160</v>
      </c>
      <c r="C43" s="42" t="s">
        <v>8</v>
      </c>
      <c r="D43" s="43">
        <v>104</v>
      </c>
      <c r="E43" s="43">
        <v>122770000</v>
      </c>
      <c r="F43" s="43">
        <v>7641</v>
      </c>
      <c r="G43" s="43">
        <v>3554620700</v>
      </c>
      <c r="H43" s="43"/>
      <c r="I43" s="43"/>
      <c r="J43" s="43"/>
      <c r="K43" s="43"/>
      <c r="L43" s="43">
        <v>487</v>
      </c>
      <c r="M43" s="43">
        <v>2362309720</v>
      </c>
      <c r="N43" s="43">
        <v>408</v>
      </c>
      <c r="O43" s="43">
        <v>937765700</v>
      </c>
      <c r="P43" s="43">
        <v>8</v>
      </c>
      <c r="Q43" s="43">
        <v>10158200</v>
      </c>
      <c r="R43" s="43">
        <v>71</v>
      </c>
      <c r="S43" s="43">
        <v>1414385820</v>
      </c>
      <c r="T43" s="44">
        <f t="shared" si="0"/>
        <v>8232</v>
      </c>
      <c r="U43" s="44">
        <f t="shared" si="0"/>
        <v>6039700420</v>
      </c>
      <c r="V43" s="45">
        <f t="shared" si="1"/>
        <v>0.58854255224798058</v>
      </c>
      <c r="W43" s="44">
        <f t="shared" si="2"/>
        <v>7641</v>
      </c>
      <c r="X43" s="44">
        <f t="shared" si="3"/>
        <v>4969006520</v>
      </c>
      <c r="Y43" s="43">
        <f t="shared" si="4"/>
        <v>465203.5990053658</v>
      </c>
      <c r="Z43" s="45">
        <f t="shared" si="5"/>
        <v>0.23418145299332579</v>
      </c>
    </row>
    <row r="44" spans="1:26">
      <c r="A44" s="42" t="s">
        <v>161</v>
      </c>
      <c r="B44" s="42" t="s">
        <v>162</v>
      </c>
      <c r="C44" s="42" t="s">
        <v>8</v>
      </c>
      <c r="D44" s="43">
        <v>182</v>
      </c>
      <c r="E44" s="43">
        <v>90703100</v>
      </c>
      <c r="F44" s="43">
        <v>3430</v>
      </c>
      <c r="G44" s="43">
        <v>4349987800</v>
      </c>
      <c r="H44" s="43">
        <v>5</v>
      </c>
      <c r="I44" s="43">
        <v>6344900</v>
      </c>
      <c r="J44" s="43">
        <v>11</v>
      </c>
      <c r="K44" s="43">
        <v>21200</v>
      </c>
      <c r="L44" s="43">
        <v>72</v>
      </c>
      <c r="M44" s="43">
        <v>438665100</v>
      </c>
      <c r="N44" s="43">
        <v>55</v>
      </c>
      <c r="O44" s="43">
        <v>384240500</v>
      </c>
      <c r="P44" s="43">
        <v>15</v>
      </c>
      <c r="Q44" s="43">
        <v>23568000</v>
      </c>
      <c r="R44" s="43">
        <v>2</v>
      </c>
      <c r="S44" s="43">
        <v>30856600</v>
      </c>
      <c r="T44" s="44">
        <f t="shared" si="0"/>
        <v>3700</v>
      </c>
      <c r="U44" s="44">
        <f t="shared" si="0"/>
        <v>4885722100</v>
      </c>
      <c r="V44" s="45">
        <f t="shared" si="1"/>
        <v>0.89164561774809092</v>
      </c>
      <c r="W44" s="44">
        <f t="shared" si="2"/>
        <v>3435</v>
      </c>
      <c r="X44" s="44">
        <f t="shared" si="3"/>
        <v>4387189300</v>
      </c>
      <c r="Y44" s="43">
        <f t="shared" si="4"/>
        <v>1268219.1266375545</v>
      </c>
      <c r="Z44" s="45">
        <f t="shared" si="5"/>
        <v>6.3156682611972548E-3</v>
      </c>
    </row>
    <row r="45" spans="1:26">
      <c r="A45" s="42" t="s">
        <v>163</v>
      </c>
      <c r="B45" s="42" t="s">
        <v>164</v>
      </c>
      <c r="C45" s="42" t="s">
        <v>8</v>
      </c>
      <c r="D45" s="43">
        <v>134</v>
      </c>
      <c r="E45" s="43">
        <v>11001100</v>
      </c>
      <c r="F45" s="43">
        <v>5475</v>
      </c>
      <c r="G45" s="43">
        <v>892658600</v>
      </c>
      <c r="H45" s="43"/>
      <c r="I45" s="43"/>
      <c r="J45" s="43"/>
      <c r="K45" s="43"/>
      <c r="L45" s="43">
        <v>648</v>
      </c>
      <c r="M45" s="43">
        <v>277962000</v>
      </c>
      <c r="N45" s="43">
        <v>453</v>
      </c>
      <c r="O45" s="43">
        <v>150046800</v>
      </c>
      <c r="P45" s="43">
        <v>79</v>
      </c>
      <c r="Q45" s="43">
        <v>79632600</v>
      </c>
      <c r="R45" s="43">
        <v>116</v>
      </c>
      <c r="S45" s="43">
        <v>48282600</v>
      </c>
      <c r="T45" s="44">
        <f t="shared" si="0"/>
        <v>6257</v>
      </c>
      <c r="U45" s="44">
        <f t="shared" si="0"/>
        <v>1181621700</v>
      </c>
      <c r="V45" s="45">
        <f t="shared" si="1"/>
        <v>0.75545210451026756</v>
      </c>
      <c r="W45" s="44">
        <f t="shared" si="2"/>
        <v>5475</v>
      </c>
      <c r="X45" s="44">
        <f t="shared" si="3"/>
        <v>940941200</v>
      </c>
      <c r="Y45" s="43">
        <f t="shared" si="4"/>
        <v>163042.66666666666</v>
      </c>
      <c r="Z45" s="45">
        <f t="shared" si="5"/>
        <v>4.0861301040764568E-2</v>
      </c>
    </row>
    <row r="46" spans="1:26">
      <c r="A46" s="42" t="s">
        <v>165</v>
      </c>
      <c r="B46" s="42" t="s">
        <v>166</v>
      </c>
      <c r="C46" s="42" t="s">
        <v>8</v>
      </c>
      <c r="D46" s="43">
        <v>61</v>
      </c>
      <c r="E46" s="43">
        <v>14024400</v>
      </c>
      <c r="F46" s="43">
        <v>3839</v>
      </c>
      <c r="G46" s="43">
        <v>2088397700</v>
      </c>
      <c r="H46" s="43"/>
      <c r="I46" s="43"/>
      <c r="J46" s="43"/>
      <c r="K46" s="43"/>
      <c r="L46" s="43">
        <v>108</v>
      </c>
      <c r="M46" s="43">
        <v>190902900</v>
      </c>
      <c r="N46" s="43">
        <v>100</v>
      </c>
      <c r="O46" s="43">
        <v>162754700</v>
      </c>
      <c r="P46" s="43">
        <v>8</v>
      </c>
      <c r="Q46" s="43">
        <v>28148200</v>
      </c>
      <c r="R46" s="43"/>
      <c r="S46" s="43"/>
      <c r="T46" s="44">
        <f t="shared" si="0"/>
        <v>4008</v>
      </c>
      <c r="U46" s="44">
        <f t="shared" si="0"/>
        <v>2293325000</v>
      </c>
      <c r="V46" s="45">
        <f t="shared" si="1"/>
        <v>0.91064184099506174</v>
      </c>
      <c r="W46" s="44">
        <f t="shared" si="2"/>
        <v>3839</v>
      </c>
      <c r="X46" s="44">
        <f t="shared" si="3"/>
        <v>2088397700</v>
      </c>
      <c r="Y46" s="43">
        <f t="shared" si="4"/>
        <v>543995.2331336285</v>
      </c>
      <c r="Z46" s="45">
        <f t="shared" si="5"/>
        <v>0</v>
      </c>
    </row>
    <row r="47" spans="1:26">
      <c r="A47" s="42" t="s">
        <v>167</v>
      </c>
      <c r="B47" s="42" t="s">
        <v>168</v>
      </c>
      <c r="C47" s="42" t="s">
        <v>8</v>
      </c>
      <c r="D47" s="43">
        <v>231</v>
      </c>
      <c r="E47" s="43">
        <v>57457000</v>
      </c>
      <c r="F47" s="43">
        <v>8248</v>
      </c>
      <c r="G47" s="43">
        <v>2728447600</v>
      </c>
      <c r="H47" s="43"/>
      <c r="I47" s="43"/>
      <c r="J47" s="43"/>
      <c r="K47" s="43"/>
      <c r="L47" s="43">
        <v>1458</v>
      </c>
      <c r="M47" s="43">
        <v>3404871600</v>
      </c>
      <c r="N47" s="43">
        <v>1016</v>
      </c>
      <c r="O47" s="43">
        <v>1987365400</v>
      </c>
      <c r="P47" s="43">
        <v>236</v>
      </c>
      <c r="Q47" s="43">
        <v>337615700</v>
      </c>
      <c r="R47" s="43">
        <v>206</v>
      </c>
      <c r="S47" s="43">
        <v>1079890500</v>
      </c>
      <c r="T47" s="44">
        <f t="shared" si="0"/>
        <v>9937</v>
      </c>
      <c r="U47" s="44">
        <f t="shared" si="0"/>
        <v>6190776200</v>
      </c>
      <c r="V47" s="45">
        <f t="shared" si="1"/>
        <v>0.4407278686637065</v>
      </c>
      <c r="W47" s="44">
        <f t="shared" si="2"/>
        <v>8248</v>
      </c>
      <c r="X47" s="44">
        <f t="shared" si="3"/>
        <v>3808338100</v>
      </c>
      <c r="Y47" s="43">
        <f t="shared" si="4"/>
        <v>330801.11542192049</v>
      </c>
      <c r="Z47" s="45">
        <f t="shared" si="5"/>
        <v>0.17443539632396984</v>
      </c>
    </row>
    <row r="48" spans="1:26">
      <c r="A48" s="42" t="s">
        <v>169</v>
      </c>
      <c r="B48" s="42" t="s">
        <v>170</v>
      </c>
      <c r="C48" s="42" t="s">
        <v>8</v>
      </c>
      <c r="D48" s="43">
        <v>55</v>
      </c>
      <c r="E48" s="43">
        <v>20183000</v>
      </c>
      <c r="F48" s="43">
        <v>1583</v>
      </c>
      <c r="G48" s="43">
        <v>1029990700</v>
      </c>
      <c r="H48" s="43"/>
      <c r="I48" s="43"/>
      <c r="J48" s="43"/>
      <c r="K48" s="43"/>
      <c r="L48" s="43">
        <v>27</v>
      </c>
      <c r="M48" s="43">
        <v>37155400</v>
      </c>
      <c r="N48" s="43">
        <v>27</v>
      </c>
      <c r="O48" s="43">
        <v>37155400</v>
      </c>
      <c r="P48" s="43"/>
      <c r="Q48" s="43"/>
      <c r="R48" s="43"/>
      <c r="S48" s="43"/>
      <c r="T48" s="44">
        <f t="shared" si="0"/>
        <v>1665</v>
      </c>
      <c r="U48" s="44">
        <f t="shared" si="0"/>
        <v>1087329100</v>
      </c>
      <c r="V48" s="45">
        <f t="shared" si="1"/>
        <v>0.947266747482432</v>
      </c>
      <c r="W48" s="44">
        <f t="shared" si="2"/>
        <v>1583</v>
      </c>
      <c r="X48" s="44">
        <f t="shared" si="3"/>
        <v>1029990700</v>
      </c>
      <c r="Y48" s="43">
        <f t="shared" si="4"/>
        <v>650657.42261528748</v>
      </c>
      <c r="Z48" s="45">
        <f t="shared" si="5"/>
        <v>0</v>
      </c>
    </row>
    <row r="49" spans="1:26">
      <c r="A49" s="42" t="s">
        <v>171</v>
      </c>
      <c r="B49" s="42" t="s">
        <v>172</v>
      </c>
      <c r="C49" s="42" t="s">
        <v>8</v>
      </c>
      <c r="D49" s="43">
        <v>108</v>
      </c>
      <c r="E49" s="43">
        <v>13438400</v>
      </c>
      <c r="F49" s="43">
        <v>3294</v>
      </c>
      <c r="G49" s="43">
        <v>1445430700</v>
      </c>
      <c r="H49" s="43"/>
      <c r="I49" s="43"/>
      <c r="J49" s="43"/>
      <c r="K49" s="43"/>
      <c r="L49" s="43">
        <v>224</v>
      </c>
      <c r="M49" s="43">
        <v>396728500</v>
      </c>
      <c r="N49" s="43">
        <v>188</v>
      </c>
      <c r="O49" s="43">
        <v>304384300</v>
      </c>
      <c r="P49" s="43">
        <v>12</v>
      </c>
      <c r="Q49" s="43">
        <v>20988000</v>
      </c>
      <c r="R49" s="43">
        <v>24</v>
      </c>
      <c r="S49" s="43">
        <v>71356200</v>
      </c>
      <c r="T49" s="44">
        <f t="shared" si="0"/>
        <v>3626</v>
      </c>
      <c r="U49" s="44">
        <f t="shared" si="0"/>
        <v>1855597600</v>
      </c>
      <c r="V49" s="45">
        <f t="shared" si="1"/>
        <v>0.77895697860355073</v>
      </c>
      <c r="W49" s="44">
        <f t="shared" si="2"/>
        <v>3294</v>
      </c>
      <c r="X49" s="44">
        <f t="shared" si="3"/>
        <v>1516786900</v>
      </c>
      <c r="Y49" s="43">
        <f t="shared" si="4"/>
        <v>438807.1341833637</v>
      </c>
      <c r="Z49" s="45">
        <f t="shared" si="5"/>
        <v>3.8454565795946277E-2</v>
      </c>
    </row>
    <row r="50" spans="1:26">
      <c r="A50" s="42" t="s">
        <v>173</v>
      </c>
      <c r="B50" s="42" t="s">
        <v>174</v>
      </c>
      <c r="C50" s="42" t="s">
        <v>8</v>
      </c>
      <c r="D50" s="43">
        <v>48</v>
      </c>
      <c r="E50" s="43">
        <v>16021200</v>
      </c>
      <c r="F50" s="43">
        <v>1125</v>
      </c>
      <c r="G50" s="43">
        <v>669141100</v>
      </c>
      <c r="H50" s="43"/>
      <c r="I50" s="43"/>
      <c r="J50" s="43"/>
      <c r="K50" s="43"/>
      <c r="L50" s="43">
        <v>44</v>
      </c>
      <c r="M50" s="43">
        <v>78365500</v>
      </c>
      <c r="N50" s="43">
        <v>44</v>
      </c>
      <c r="O50" s="43">
        <v>78365500</v>
      </c>
      <c r="P50" s="43"/>
      <c r="Q50" s="43"/>
      <c r="R50" s="43"/>
      <c r="S50" s="43"/>
      <c r="T50" s="44">
        <f t="shared" si="0"/>
        <v>1217</v>
      </c>
      <c r="U50" s="44">
        <f t="shared" si="0"/>
        <v>763527800</v>
      </c>
      <c r="V50" s="45">
        <f t="shared" si="1"/>
        <v>0.8763807945172396</v>
      </c>
      <c r="W50" s="44">
        <f t="shared" si="2"/>
        <v>1125</v>
      </c>
      <c r="X50" s="44">
        <f t="shared" si="3"/>
        <v>669141100</v>
      </c>
      <c r="Y50" s="43">
        <f t="shared" si="4"/>
        <v>594792.08888888895</v>
      </c>
      <c r="Z50" s="45">
        <f t="shared" si="5"/>
        <v>0</v>
      </c>
    </row>
    <row r="51" spans="1:26">
      <c r="A51" s="42" t="s">
        <v>175</v>
      </c>
      <c r="B51" s="42" t="s">
        <v>176</v>
      </c>
      <c r="C51" s="42" t="s">
        <v>8</v>
      </c>
      <c r="D51" s="43">
        <v>63</v>
      </c>
      <c r="E51" s="43">
        <v>12449200</v>
      </c>
      <c r="F51" s="43">
        <v>3298</v>
      </c>
      <c r="G51" s="43">
        <v>1818907400</v>
      </c>
      <c r="H51" s="43">
        <v>2</v>
      </c>
      <c r="I51" s="43">
        <v>745000</v>
      </c>
      <c r="J51" s="43">
        <v>2</v>
      </c>
      <c r="K51" s="43">
        <v>13100</v>
      </c>
      <c r="L51" s="43">
        <v>113</v>
      </c>
      <c r="M51" s="43">
        <v>123987300</v>
      </c>
      <c r="N51" s="43">
        <v>99</v>
      </c>
      <c r="O51" s="43">
        <v>107676500</v>
      </c>
      <c r="P51" s="43">
        <v>12</v>
      </c>
      <c r="Q51" s="43">
        <v>14315500</v>
      </c>
      <c r="R51" s="43">
        <v>2</v>
      </c>
      <c r="S51" s="43">
        <v>1995300</v>
      </c>
      <c r="T51" s="44">
        <f t="shared" si="0"/>
        <v>3478</v>
      </c>
      <c r="U51" s="44">
        <f t="shared" si="0"/>
        <v>1956102000</v>
      </c>
      <c r="V51" s="45">
        <f t="shared" si="1"/>
        <v>0.93024412837367376</v>
      </c>
      <c r="W51" s="44">
        <f t="shared" si="2"/>
        <v>3300</v>
      </c>
      <c r="X51" s="44">
        <f t="shared" si="3"/>
        <v>1821647700</v>
      </c>
      <c r="Y51" s="43">
        <f t="shared" si="4"/>
        <v>551409.81818181823</v>
      </c>
      <c r="Z51" s="45">
        <f t="shared" si="5"/>
        <v>1.0200388323308293E-3</v>
      </c>
    </row>
    <row r="52" spans="1:26">
      <c r="A52" s="42" t="s">
        <v>177</v>
      </c>
      <c r="B52" s="42" t="s">
        <v>178</v>
      </c>
      <c r="C52" s="42" t="s">
        <v>8</v>
      </c>
      <c r="D52" s="43">
        <v>51</v>
      </c>
      <c r="E52" s="43">
        <v>15088500</v>
      </c>
      <c r="F52" s="43">
        <v>1431</v>
      </c>
      <c r="G52" s="43">
        <v>1287431000</v>
      </c>
      <c r="H52" s="43"/>
      <c r="I52" s="43"/>
      <c r="J52" s="43"/>
      <c r="K52" s="43"/>
      <c r="L52" s="43">
        <v>44</v>
      </c>
      <c r="M52" s="43">
        <v>59395600</v>
      </c>
      <c r="N52" s="43">
        <v>43</v>
      </c>
      <c r="O52" s="43">
        <v>41253400</v>
      </c>
      <c r="P52" s="43">
        <v>1</v>
      </c>
      <c r="Q52" s="43">
        <v>18142200</v>
      </c>
      <c r="R52" s="43"/>
      <c r="S52" s="43"/>
      <c r="T52" s="44">
        <f t="shared" si="0"/>
        <v>1526</v>
      </c>
      <c r="U52" s="44">
        <f t="shared" si="0"/>
        <v>1361915100</v>
      </c>
      <c r="V52" s="45">
        <f t="shared" si="1"/>
        <v>0.94530929277456432</v>
      </c>
      <c r="W52" s="44">
        <f t="shared" si="2"/>
        <v>1431</v>
      </c>
      <c r="X52" s="44">
        <f t="shared" si="3"/>
        <v>1287431000</v>
      </c>
      <c r="Y52" s="43">
        <f t="shared" si="4"/>
        <v>899672.25716282323</v>
      </c>
      <c r="Z52" s="45">
        <f t="shared" si="5"/>
        <v>0</v>
      </c>
    </row>
    <row r="53" spans="1:26">
      <c r="A53" s="42" t="s">
        <v>179</v>
      </c>
      <c r="B53" s="42" t="s">
        <v>180</v>
      </c>
      <c r="C53" s="42" t="s">
        <v>8</v>
      </c>
      <c r="D53" s="43">
        <v>48</v>
      </c>
      <c r="E53" s="43">
        <v>4481500</v>
      </c>
      <c r="F53" s="43">
        <v>2442</v>
      </c>
      <c r="G53" s="43">
        <v>623853900</v>
      </c>
      <c r="H53" s="43"/>
      <c r="I53" s="43"/>
      <c r="J53" s="43"/>
      <c r="K53" s="43"/>
      <c r="L53" s="43">
        <v>93</v>
      </c>
      <c r="M53" s="43">
        <v>86366000</v>
      </c>
      <c r="N53" s="43">
        <v>58</v>
      </c>
      <c r="O53" s="43">
        <v>38495900</v>
      </c>
      <c r="P53" s="43">
        <v>5</v>
      </c>
      <c r="Q53" s="43">
        <v>13685700</v>
      </c>
      <c r="R53" s="43">
        <v>30</v>
      </c>
      <c r="S53" s="43">
        <v>34184400</v>
      </c>
      <c r="T53" s="44">
        <f t="shared" si="0"/>
        <v>2583</v>
      </c>
      <c r="U53" s="44">
        <f t="shared" si="0"/>
        <v>714701400</v>
      </c>
      <c r="V53" s="45">
        <f t="shared" si="1"/>
        <v>0.87288747440539505</v>
      </c>
      <c r="W53" s="44">
        <f t="shared" si="2"/>
        <v>2442</v>
      </c>
      <c r="X53" s="44">
        <f t="shared" si="3"/>
        <v>658038300</v>
      </c>
      <c r="Y53" s="43">
        <f t="shared" si="4"/>
        <v>255468.42751842752</v>
      </c>
      <c r="Z53" s="45">
        <f t="shared" si="5"/>
        <v>4.7830324664258385E-2</v>
      </c>
    </row>
    <row r="54" spans="1:26">
      <c r="A54" s="42" t="s">
        <v>181</v>
      </c>
      <c r="B54" s="42" t="s">
        <v>182</v>
      </c>
      <c r="C54" s="42" t="s">
        <v>8</v>
      </c>
      <c r="D54" s="43">
        <v>37</v>
      </c>
      <c r="E54" s="43">
        <v>9507700</v>
      </c>
      <c r="F54" s="43">
        <v>2240</v>
      </c>
      <c r="G54" s="43">
        <v>799636400</v>
      </c>
      <c r="H54" s="43"/>
      <c r="I54" s="43"/>
      <c r="J54" s="43"/>
      <c r="K54" s="43"/>
      <c r="L54" s="43">
        <v>265</v>
      </c>
      <c r="M54" s="43">
        <v>412998700</v>
      </c>
      <c r="N54" s="43">
        <v>162</v>
      </c>
      <c r="O54" s="43">
        <v>152646400</v>
      </c>
      <c r="P54" s="43">
        <v>78</v>
      </c>
      <c r="Q54" s="43">
        <v>150176700</v>
      </c>
      <c r="R54" s="43">
        <v>25</v>
      </c>
      <c r="S54" s="43">
        <v>110175600</v>
      </c>
      <c r="T54" s="44">
        <f t="shared" si="0"/>
        <v>2542</v>
      </c>
      <c r="U54" s="44">
        <f t="shared" si="0"/>
        <v>1222142800</v>
      </c>
      <c r="V54" s="45">
        <f t="shared" si="1"/>
        <v>0.65429048062141348</v>
      </c>
      <c r="W54" s="44">
        <f t="shared" si="2"/>
        <v>2240</v>
      </c>
      <c r="X54" s="44">
        <f t="shared" si="3"/>
        <v>909812000</v>
      </c>
      <c r="Y54" s="43">
        <f t="shared" si="4"/>
        <v>356980.53571428574</v>
      </c>
      <c r="Z54" s="45">
        <f t="shared" si="5"/>
        <v>9.0149530807692849E-2</v>
      </c>
    </row>
    <row r="55" spans="1:26">
      <c r="A55" s="42" t="s">
        <v>183</v>
      </c>
      <c r="B55" s="42" t="s">
        <v>184</v>
      </c>
      <c r="C55" s="42" t="s">
        <v>8</v>
      </c>
      <c r="D55" s="43">
        <v>79</v>
      </c>
      <c r="E55" s="43">
        <v>7274700</v>
      </c>
      <c r="F55" s="43">
        <v>4440</v>
      </c>
      <c r="G55" s="43">
        <v>1416914100</v>
      </c>
      <c r="H55" s="43"/>
      <c r="I55" s="43"/>
      <c r="J55" s="43"/>
      <c r="K55" s="43"/>
      <c r="L55" s="43">
        <v>515</v>
      </c>
      <c r="M55" s="43">
        <v>536972700</v>
      </c>
      <c r="N55" s="43">
        <v>309</v>
      </c>
      <c r="O55" s="43">
        <v>267186800</v>
      </c>
      <c r="P55" s="43">
        <v>114</v>
      </c>
      <c r="Q55" s="43">
        <v>131949300</v>
      </c>
      <c r="R55" s="43">
        <v>92</v>
      </c>
      <c r="S55" s="43">
        <v>137836600</v>
      </c>
      <c r="T55" s="44">
        <f t="shared" si="0"/>
        <v>5034</v>
      </c>
      <c r="U55" s="44">
        <f t="shared" si="0"/>
        <v>1961161500</v>
      </c>
      <c r="V55" s="45">
        <f t="shared" si="1"/>
        <v>0.72248720974789682</v>
      </c>
      <c r="W55" s="44">
        <f t="shared" si="2"/>
        <v>4440</v>
      </c>
      <c r="X55" s="44">
        <f t="shared" si="3"/>
        <v>1554750700</v>
      </c>
      <c r="Y55" s="43">
        <f t="shared" si="4"/>
        <v>319124.79729729728</v>
      </c>
      <c r="Z55" s="45">
        <f t="shared" si="5"/>
        <v>7.0283145982623058E-2</v>
      </c>
    </row>
    <row r="56" spans="1:26">
      <c r="A56" s="42" t="s">
        <v>185</v>
      </c>
      <c r="B56" s="42" t="s">
        <v>186</v>
      </c>
      <c r="C56" s="42" t="s">
        <v>8</v>
      </c>
      <c r="D56" s="43">
        <v>132</v>
      </c>
      <c r="E56" s="43">
        <v>171367000</v>
      </c>
      <c r="F56" s="43">
        <v>5084</v>
      </c>
      <c r="G56" s="43">
        <v>2100885000</v>
      </c>
      <c r="H56" s="43"/>
      <c r="I56" s="43"/>
      <c r="J56" s="43"/>
      <c r="K56" s="43"/>
      <c r="L56" s="43">
        <v>476</v>
      </c>
      <c r="M56" s="43">
        <v>1251965600</v>
      </c>
      <c r="N56" s="43">
        <v>323</v>
      </c>
      <c r="O56" s="43">
        <v>460341500</v>
      </c>
      <c r="P56" s="43">
        <v>102</v>
      </c>
      <c r="Q56" s="43">
        <v>729566800</v>
      </c>
      <c r="R56" s="43">
        <v>51</v>
      </c>
      <c r="S56" s="43">
        <v>62057300</v>
      </c>
      <c r="T56" s="44">
        <f t="shared" si="0"/>
        <v>5692</v>
      </c>
      <c r="U56" s="44">
        <f t="shared" si="0"/>
        <v>3524217600</v>
      </c>
      <c r="V56" s="45">
        <f t="shared" si="1"/>
        <v>0.59612805974296257</v>
      </c>
      <c r="W56" s="44">
        <f t="shared" si="2"/>
        <v>5084</v>
      </c>
      <c r="X56" s="44">
        <f t="shared" si="3"/>
        <v>2162942300</v>
      </c>
      <c r="Y56" s="43">
        <f t="shared" si="4"/>
        <v>413234.65774980333</v>
      </c>
      <c r="Z56" s="45">
        <f t="shared" si="5"/>
        <v>1.7608816209305579E-2</v>
      </c>
    </row>
    <row r="57" spans="1:26">
      <c r="A57" s="42" t="s">
        <v>187</v>
      </c>
      <c r="B57" s="42" t="s">
        <v>188</v>
      </c>
      <c r="C57" s="42" t="s">
        <v>8</v>
      </c>
      <c r="D57" s="43">
        <v>463</v>
      </c>
      <c r="E57" s="43">
        <v>89819900</v>
      </c>
      <c r="F57" s="43">
        <v>9210</v>
      </c>
      <c r="G57" s="43">
        <v>3282523000</v>
      </c>
      <c r="H57" s="43">
        <v>13</v>
      </c>
      <c r="I57" s="43">
        <v>12298600</v>
      </c>
      <c r="J57" s="43">
        <v>21</v>
      </c>
      <c r="K57" s="43">
        <v>549800</v>
      </c>
      <c r="L57" s="43">
        <v>245</v>
      </c>
      <c r="M57" s="43">
        <v>738459900</v>
      </c>
      <c r="N57" s="43">
        <v>157</v>
      </c>
      <c r="O57" s="43">
        <v>475560100</v>
      </c>
      <c r="P57" s="43">
        <v>80</v>
      </c>
      <c r="Q57" s="43">
        <v>231148000</v>
      </c>
      <c r="R57" s="43">
        <v>8</v>
      </c>
      <c r="S57" s="43">
        <v>31751800</v>
      </c>
      <c r="T57" s="44">
        <f t="shared" si="0"/>
        <v>9952</v>
      </c>
      <c r="U57" s="44">
        <f t="shared" si="0"/>
        <v>4123651200</v>
      </c>
      <c r="V57" s="45">
        <f t="shared" si="1"/>
        <v>0.79900589070190997</v>
      </c>
      <c r="W57" s="44">
        <f t="shared" si="2"/>
        <v>9223</v>
      </c>
      <c r="X57" s="44">
        <f t="shared" si="3"/>
        <v>3326573400</v>
      </c>
      <c r="Y57" s="43">
        <f t="shared" si="4"/>
        <v>357239.68340019515</v>
      </c>
      <c r="Z57" s="45">
        <f t="shared" si="5"/>
        <v>7.6999237956886365E-3</v>
      </c>
    </row>
    <row r="58" spans="1:26">
      <c r="A58" s="42" t="s">
        <v>189</v>
      </c>
      <c r="B58" s="42" t="s">
        <v>190</v>
      </c>
      <c r="C58" s="42" t="s">
        <v>8</v>
      </c>
      <c r="D58" s="43">
        <v>69</v>
      </c>
      <c r="E58" s="43">
        <v>10218100</v>
      </c>
      <c r="F58" s="43">
        <v>2727</v>
      </c>
      <c r="G58" s="43">
        <v>1131820000</v>
      </c>
      <c r="H58" s="43"/>
      <c r="I58" s="43"/>
      <c r="J58" s="43"/>
      <c r="K58" s="43"/>
      <c r="L58" s="43">
        <v>147</v>
      </c>
      <c r="M58" s="43">
        <v>289081800</v>
      </c>
      <c r="N58" s="43">
        <v>104</v>
      </c>
      <c r="O58" s="43">
        <v>119258700</v>
      </c>
      <c r="P58" s="43">
        <v>28</v>
      </c>
      <c r="Q58" s="43">
        <v>110343600</v>
      </c>
      <c r="R58" s="43">
        <v>15</v>
      </c>
      <c r="S58" s="43">
        <v>59479500</v>
      </c>
      <c r="T58" s="44">
        <f t="shared" si="0"/>
        <v>2943</v>
      </c>
      <c r="U58" s="44">
        <f t="shared" si="0"/>
        <v>1431119900</v>
      </c>
      <c r="V58" s="45">
        <f t="shared" si="1"/>
        <v>0.79086315549102493</v>
      </c>
      <c r="W58" s="44">
        <f t="shared" si="2"/>
        <v>2727</v>
      </c>
      <c r="X58" s="44">
        <f t="shared" si="3"/>
        <v>1191299500</v>
      </c>
      <c r="Y58" s="43">
        <f t="shared" si="4"/>
        <v>415042.17088375502</v>
      </c>
      <c r="Z58" s="45">
        <f t="shared" si="5"/>
        <v>4.1561507180495498E-2</v>
      </c>
    </row>
    <row r="59" spans="1:26">
      <c r="A59" s="42" t="s">
        <v>191</v>
      </c>
      <c r="B59" s="42" t="s">
        <v>192</v>
      </c>
      <c r="C59" s="42" t="s">
        <v>8</v>
      </c>
      <c r="D59" s="43">
        <v>38</v>
      </c>
      <c r="E59" s="43">
        <v>5958000</v>
      </c>
      <c r="F59" s="43">
        <v>2199</v>
      </c>
      <c r="G59" s="43">
        <v>690356700</v>
      </c>
      <c r="H59" s="43"/>
      <c r="I59" s="43"/>
      <c r="J59" s="43"/>
      <c r="K59" s="43"/>
      <c r="L59" s="43">
        <v>178</v>
      </c>
      <c r="M59" s="43">
        <v>168657600</v>
      </c>
      <c r="N59" s="43">
        <v>134</v>
      </c>
      <c r="O59" s="43">
        <v>114694800</v>
      </c>
      <c r="P59" s="43">
        <v>40</v>
      </c>
      <c r="Q59" s="43">
        <v>42287800</v>
      </c>
      <c r="R59" s="43">
        <v>4</v>
      </c>
      <c r="S59" s="43">
        <v>11675000</v>
      </c>
      <c r="T59" s="44">
        <f t="shared" si="0"/>
        <v>2415</v>
      </c>
      <c r="U59" s="44">
        <f t="shared" si="0"/>
        <v>864972300</v>
      </c>
      <c r="V59" s="45">
        <f t="shared" si="1"/>
        <v>0.79812578969291847</v>
      </c>
      <c r="W59" s="44">
        <f t="shared" si="2"/>
        <v>2199</v>
      </c>
      <c r="X59" s="44">
        <f t="shared" si="3"/>
        <v>702031700</v>
      </c>
      <c r="Y59" s="43">
        <f t="shared" si="4"/>
        <v>313941.2005457026</v>
      </c>
      <c r="Z59" s="45">
        <f t="shared" si="5"/>
        <v>1.3497542060017412E-2</v>
      </c>
    </row>
    <row r="60" spans="1:26">
      <c r="A60" s="42" t="s">
        <v>193</v>
      </c>
      <c r="B60" s="42" t="s">
        <v>194</v>
      </c>
      <c r="C60" s="42" t="s">
        <v>8</v>
      </c>
      <c r="D60" s="43">
        <v>189</v>
      </c>
      <c r="E60" s="43">
        <v>51808600</v>
      </c>
      <c r="F60" s="43">
        <v>2507</v>
      </c>
      <c r="G60" s="43">
        <v>1641992200</v>
      </c>
      <c r="H60" s="43">
        <v>3</v>
      </c>
      <c r="I60" s="43">
        <v>2246000</v>
      </c>
      <c r="J60" s="43">
        <v>8</v>
      </c>
      <c r="K60" s="43">
        <v>37600</v>
      </c>
      <c r="L60" s="43">
        <v>125</v>
      </c>
      <c r="M60" s="43">
        <v>635535200</v>
      </c>
      <c r="N60" s="43">
        <v>118</v>
      </c>
      <c r="O60" s="43">
        <v>603707200</v>
      </c>
      <c r="P60" s="43">
        <v>6</v>
      </c>
      <c r="Q60" s="43">
        <v>13075000</v>
      </c>
      <c r="R60" s="43">
        <v>1</v>
      </c>
      <c r="S60" s="43">
        <v>18753000</v>
      </c>
      <c r="T60" s="44">
        <f t="shared" si="0"/>
        <v>2832</v>
      </c>
      <c r="U60" s="44">
        <f t="shared" si="0"/>
        <v>2331619600</v>
      </c>
      <c r="V60" s="45">
        <f t="shared" si="1"/>
        <v>0.70519144718117832</v>
      </c>
      <c r="W60" s="44">
        <f t="shared" si="2"/>
        <v>2510</v>
      </c>
      <c r="X60" s="44">
        <f t="shared" si="3"/>
        <v>1662991200</v>
      </c>
      <c r="Y60" s="43">
        <f t="shared" si="4"/>
        <v>655074.98007968126</v>
      </c>
      <c r="Z60" s="45">
        <f t="shared" si="5"/>
        <v>8.0429071706207989E-3</v>
      </c>
    </row>
    <row r="61" spans="1:26">
      <c r="A61" s="42" t="s">
        <v>195</v>
      </c>
      <c r="B61" s="42" t="s">
        <v>196</v>
      </c>
      <c r="C61" s="42" t="s">
        <v>8</v>
      </c>
      <c r="D61" s="43">
        <v>21</v>
      </c>
      <c r="E61" s="43">
        <v>10872600</v>
      </c>
      <c r="F61" s="43">
        <v>598</v>
      </c>
      <c r="G61" s="43">
        <v>231640090</v>
      </c>
      <c r="H61" s="43"/>
      <c r="I61" s="43"/>
      <c r="J61" s="43"/>
      <c r="K61" s="43"/>
      <c r="L61" s="43">
        <v>180</v>
      </c>
      <c r="M61" s="43">
        <v>554674700</v>
      </c>
      <c r="N61" s="43">
        <v>40</v>
      </c>
      <c r="O61" s="43">
        <v>66137200</v>
      </c>
      <c r="P61" s="43">
        <v>140</v>
      </c>
      <c r="Q61" s="43">
        <v>488537500</v>
      </c>
      <c r="R61" s="43"/>
      <c r="S61" s="43"/>
      <c r="T61" s="44">
        <f t="shared" si="0"/>
        <v>799</v>
      </c>
      <c r="U61" s="44">
        <f t="shared" si="0"/>
        <v>797187390</v>
      </c>
      <c r="V61" s="45">
        <f t="shared" si="1"/>
        <v>0.29057169356379309</v>
      </c>
      <c r="W61" s="44">
        <f t="shared" si="2"/>
        <v>598</v>
      </c>
      <c r="X61" s="44">
        <f t="shared" si="3"/>
        <v>231640090</v>
      </c>
      <c r="Y61" s="43">
        <f t="shared" si="4"/>
        <v>387358.01003344479</v>
      </c>
      <c r="Z61" s="45">
        <f t="shared" si="5"/>
        <v>0</v>
      </c>
    </row>
    <row r="62" spans="1:26">
      <c r="A62" s="42" t="s">
        <v>197</v>
      </c>
      <c r="B62" s="42" t="s">
        <v>198</v>
      </c>
      <c r="C62" s="42" t="s">
        <v>8</v>
      </c>
      <c r="D62" s="43">
        <v>46</v>
      </c>
      <c r="E62" s="43">
        <v>6581400</v>
      </c>
      <c r="F62" s="43">
        <v>4192</v>
      </c>
      <c r="G62" s="43">
        <v>1729876000</v>
      </c>
      <c r="H62" s="43"/>
      <c r="I62" s="43"/>
      <c r="J62" s="43"/>
      <c r="K62" s="43"/>
      <c r="L62" s="43">
        <v>91</v>
      </c>
      <c r="M62" s="43">
        <v>215553200</v>
      </c>
      <c r="N62" s="43">
        <v>75</v>
      </c>
      <c r="O62" s="43">
        <v>86686800</v>
      </c>
      <c r="P62" s="43">
        <v>2</v>
      </c>
      <c r="Q62" s="43">
        <v>3736200</v>
      </c>
      <c r="R62" s="43">
        <v>14</v>
      </c>
      <c r="S62" s="43">
        <v>125130200</v>
      </c>
      <c r="T62" s="44">
        <f t="shared" si="0"/>
        <v>4329</v>
      </c>
      <c r="U62" s="44">
        <f t="shared" si="0"/>
        <v>1952010600</v>
      </c>
      <c r="V62" s="45">
        <f t="shared" si="1"/>
        <v>0.88620215484485587</v>
      </c>
      <c r="W62" s="44">
        <f t="shared" si="2"/>
        <v>4192</v>
      </c>
      <c r="X62" s="44">
        <f t="shared" si="3"/>
        <v>1855006200</v>
      </c>
      <c r="Y62" s="43">
        <f t="shared" si="4"/>
        <v>412661.25954198471</v>
      </c>
      <c r="Z62" s="45">
        <f t="shared" si="5"/>
        <v>6.4103237963974172E-2</v>
      </c>
    </row>
    <row r="63" spans="1:26">
      <c r="A63" s="42" t="s">
        <v>199</v>
      </c>
      <c r="B63" s="42" t="s">
        <v>200</v>
      </c>
      <c r="C63" s="42" t="s">
        <v>8</v>
      </c>
      <c r="D63" s="43">
        <v>56</v>
      </c>
      <c r="E63" s="43">
        <v>11604300</v>
      </c>
      <c r="F63" s="43">
        <v>3744</v>
      </c>
      <c r="G63" s="43">
        <v>670453200</v>
      </c>
      <c r="H63" s="43"/>
      <c r="I63" s="43"/>
      <c r="J63" s="43"/>
      <c r="K63" s="43"/>
      <c r="L63" s="43">
        <v>277</v>
      </c>
      <c r="M63" s="43">
        <v>137258800</v>
      </c>
      <c r="N63" s="43">
        <v>185</v>
      </c>
      <c r="O63" s="43">
        <v>68429900</v>
      </c>
      <c r="P63" s="43">
        <v>55</v>
      </c>
      <c r="Q63" s="43">
        <v>31568900</v>
      </c>
      <c r="R63" s="43">
        <v>37</v>
      </c>
      <c r="S63" s="43">
        <v>37260000</v>
      </c>
      <c r="T63" s="44">
        <f t="shared" si="0"/>
        <v>4077</v>
      </c>
      <c r="U63" s="44">
        <f t="shared" si="0"/>
        <v>819316300</v>
      </c>
      <c r="V63" s="45">
        <f t="shared" si="1"/>
        <v>0.81830814302119947</v>
      </c>
      <c r="W63" s="44">
        <f t="shared" si="2"/>
        <v>3744</v>
      </c>
      <c r="X63" s="44">
        <f t="shared" si="3"/>
        <v>707713200</v>
      </c>
      <c r="Y63" s="43">
        <f t="shared" si="4"/>
        <v>179074.03846153847</v>
      </c>
      <c r="Z63" s="45">
        <f t="shared" si="5"/>
        <v>4.5476942177276346E-2</v>
      </c>
    </row>
    <row r="64" spans="1:26">
      <c r="A64" s="42" t="s">
        <v>201</v>
      </c>
      <c r="B64" s="42" t="s">
        <v>202</v>
      </c>
      <c r="C64" s="42" t="s">
        <v>8</v>
      </c>
      <c r="D64" s="43">
        <v>125</v>
      </c>
      <c r="E64" s="43">
        <v>15525157</v>
      </c>
      <c r="F64" s="43">
        <v>1457</v>
      </c>
      <c r="G64" s="43">
        <v>698971683</v>
      </c>
      <c r="H64" s="43"/>
      <c r="I64" s="43"/>
      <c r="J64" s="43"/>
      <c r="K64" s="43"/>
      <c r="L64" s="43">
        <v>142</v>
      </c>
      <c r="M64" s="43">
        <v>284115300</v>
      </c>
      <c r="N64" s="43">
        <v>83</v>
      </c>
      <c r="O64" s="43">
        <v>76040600</v>
      </c>
      <c r="P64" s="43">
        <v>59</v>
      </c>
      <c r="Q64" s="43">
        <v>208074700</v>
      </c>
      <c r="R64" s="43"/>
      <c r="S64" s="43"/>
      <c r="T64" s="44">
        <f t="shared" si="0"/>
        <v>1724</v>
      </c>
      <c r="U64" s="44">
        <f t="shared" si="0"/>
        <v>998612140</v>
      </c>
      <c r="V64" s="45">
        <f t="shared" si="1"/>
        <v>0.69994310603914744</v>
      </c>
      <c r="W64" s="44">
        <f t="shared" si="2"/>
        <v>1457</v>
      </c>
      <c r="X64" s="44">
        <f t="shared" si="3"/>
        <v>698971683</v>
      </c>
      <c r="Y64" s="43">
        <f t="shared" si="4"/>
        <v>479733.48181194236</v>
      </c>
      <c r="Z64" s="45">
        <f t="shared" si="5"/>
        <v>0</v>
      </c>
    </row>
    <row r="65" spans="1:26">
      <c r="A65" s="42" t="s">
        <v>203</v>
      </c>
      <c r="B65" s="42" t="s">
        <v>204</v>
      </c>
      <c r="C65" s="42" t="s">
        <v>8</v>
      </c>
      <c r="D65" s="43">
        <v>64</v>
      </c>
      <c r="E65" s="43">
        <v>12893600</v>
      </c>
      <c r="F65" s="43">
        <v>1791</v>
      </c>
      <c r="G65" s="43">
        <v>1273609500</v>
      </c>
      <c r="H65" s="43"/>
      <c r="I65" s="43"/>
      <c r="J65" s="43">
        <v>1</v>
      </c>
      <c r="K65" s="43">
        <v>44300</v>
      </c>
      <c r="L65" s="43">
        <v>98</v>
      </c>
      <c r="M65" s="43">
        <v>197965000</v>
      </c>
      <c r="N65" s="43">
        <v>54</v>
      </c>
      <c r="O65" s="43">
        <v>78306000</v>
      </c>
      <c r="P65" s="43">
        <v>43</v>
      </c>
      <c r="Q65" s="43">
        <v>102148800</v>
      </c>
      <c r="R65" s="43">
        <v>1</v>
      </c>
      <c r="S65" s="43">
        <v>17510200</v>
      </c>
      <c r="T65" s="44">
        <f t="shared" si="0"/>
        <v>1954</v>
      </c>
      <c r="U65" s="44">
        <f t="shared" si="0"/>
        <v>1484512400</v>
      </c>
      <c r="V65" s="45">
        <f t="shared" si="1"/>
        <v>0.85793119680239793</v>
      </c>
      <c r="W65" s="44">
        <f t="shared" si="2"/>
        <v>1791</v>
      </c>
      <c r="X65" s="44">
        <f t="shared" si="3"/>
        <v>1291119700</v>
      </c>
      <c r="Y65" s="43">
        <f t="shared" si="4"/>
        <v>711116.41541038523</v>
      </c>
      <c r="Z65" s="45">
        <f t="shared" si="5"/>
        <v>1.1795253444834815E-2</v>
      </c>
    </row>
    <row r="66" spans="1:26">
      <c r="A66" s="42" t="s">
        <v>205</v>
      </c>
      <c r="B66" s="42" t="s">
        <v>206</v>
      </c>
      <c r="C66" s="42" t="s">
        <v>8</v>
      </c>
      <c r="D66" s="43">
        <v>193</v>
      </c>
      <c r="E66" s="43">
        <v>44786500</v>
      </c>
      <c r="F66" s="43">
        <v>4413</v>
      </c>
      <c r="G66" s="43">
        <v>2135944700</v>
      </c>
      <c r="H66" s="43">
        <v>4</v>
      </c>
      <c r="I66" s="43">
        <v>3578600</v>
      </c>
      <c r="J66" s="43">
        <v>8</v>
      </c>
      <c r="K66" s="43">
        <v>65800</v>
      </c>
      <c r="L66" s="43">
        <v>199</v>
      </c>
      <c r="M66" s="43">
        <v>348009400</v>
      </c>
      <c r="N66" s="43">
        <v>140</v>
      </c>
      <c r="O66" s="43">
        <v>173664700</v>
      </c>
      <c r="P66" s="43">
        <v>59</v>
      </c>
      <c r="Q66" s="43">
        <v>174344700</v>
      </c>
      <c r="R66" s="43"/>
      <c r="S66" s="43"/>
      <c r="T66" s="44">
        <f t="shared" ref="T66:U129" si="6">R66+P66+N66+J66+H66+F66+D66</f>
        <v>4817</v>
      </c>
      <c r="U66" s="44">
        <f t="shared" si="6"/>
        <v>2532385000</v>
      </c>
      <c r="V66" s="45">
        <f t="shared" ref="V66:V129" si="7">(G66+I66)/U66</f>
        <v>0.84486493957277431</v>
      </c>
      <c r="W66" s="44">
        <f t="shared" ref="W66:W129" si="8">F66+H66</f>
        <v>4417</v>
      </c>
      <c r="X66" s="44">
        <f t="shared" ref="X66:X129" si="9">G66+I66+S66</f>
        <v>2139523300</v>
      </c>
      <c r="Y66" s="43">
        <f t="shared" ref="Y66:Y129" si="10">(G66+I66)/(H66+F66)</f>
        <v>484383.81254244962</v>
      </c>
      <c r="Z66" s="45">
        <f t="shared" ref="Z66:Z129" si="11">S66/U66</f>
        <v>0</v>
      </c>
    </row>
    <row r="67" spans="1:26">
      <c r="A67" s="42" t="s">
        <v>207</v>
      </c>
      <c r="B67" s="42" t="s">
        <v>208</v>
      </c>
      <c r="C67" s="42" t="s">
        <v>8</v>
      </c>
      <c r="D67" s="43">
        <v>72</v>
      </c>
      <c r="E67" s="43">
        <v>34314800</v>
      </c>
      <c r="F67" s="43">
        <v>1925</v>
      </c>
      <c r="G67" s="43">
        <v>1186252900</v>
      </c>
      <c r="H67" s="43">
        <v>2</v>
      </c>
      <c r="I67" s="43">
        <v>380400</v>
      </c>
      <c r="J67" s="43">
        <v>1</v>
      </c>
      <c r="K67" s="43">
        <v>9900</v>
      </c>
      <c r="L67" s="43">
        <v>51</v>
      </c>
      <c r="M67" s="43">
        <v>62221700</v>
      </c>
      <c r="N67" s="43">
        <v>50</v>
      </c>
      <c r="O67" s="43">
        <v>61889900</v>
      </c>
      <c r="P67" s="43"/>
      <c r="Q67" s="43"/>
      <c r="R67" s="43">
        <v>1</v>
      </c>
      <c r="S67" s="43">
        <v>331800</v>
      </c>
      <c r="T67" s="44">
        <f t="shared" si="6"/>
        <v>2051</v>
      </c>
      <c r="U67" s="44">
        <f t="shared" si="6"/>
        <v>1283179700</v>
      </c>
      <c r="V67" s="45">
        <f t="shared" si="7"/>
        <v>0.92476003166197218</v>
      </c>
      <c r="W67" s="44">
        <f t="shared" si="8"/>
        <v>1927</v>
      </c>
      <c r="X67" s="44">
        <f t="shared" si="9"/>
        <v>1186965100</v>
      </c>
      <c r="Y67" s="43">
        <f t="shared" si="10"/>
        <v>615793.09807991702</v>
      </c>
      <c r="Z67" s="45">
        <f t="shared" si="11"/>
        <v>2.5857640983566058E-4</v>
      </c>
    </row>
    <row r="68" spans="1:26">
      <c r="A68" s="42" t="s">
        <v>209</v>
      </c>
      <c r="B68" s="42" t="s">
        <v>210</v>
      </c>
      <c r="C68" s="42" t="s">
        <v>8</v>
      </c>
      <c r="D68" s="43">
        <v>25</v>
      </c>
      <c r="E68" s="43">
        <v>2479300</v>
      </c>
      <c r="F68" s="43">
        <v>2641</v>
      </c>
      <c r="G68" s="43">
        <v>739384400</v>
      </c>
      <c r="H68" s="43"/>
      <c r="I68" s="43"/>
      <c r="J68" s="43"/>
      <c r="K68" s="43"/>
      <c r="L68" s="43">
        <v>99</v>
      </c>
      <c r="M68" s="43">
        <v>98386000</v>
      </c>
      <c r="N68" s="43">
        <v>93</v>
      </c>
      <c r="O68" s="43">
        <v>94623000</v>
      </c>
      <c r="P68" s="43">
        <v>1</v>
      </c>
      <c r="Q68" s="43">
        <v>187100</v>
      </c>
      <c r="R68" s="43">
        <v>5</v>
      </c>
      <c r="S68" s="43">
        <v>3575900</v>
      </c>
      <c r="T68" s="44">
        <f t="shared" si="6"/>
        <v>2765</v>
      </c>
      <c r="U68" s="44">
        <f t="shared" si="6"/>
        <v>840249700</v>
      </c>
      <c r="V68" s="45">
        <f t="shared" si="7"/>
        <v>0.87995794583443465</v>
      </c>
      <c r="W68" s="44">
        <f t="shared" si="8"/>
        <v>2641</v>
      </c>
      <c r="X68" s="44">
        <f t="shared" si="9"/>
        <v>742960300</v>
      </c>
      <c r="Y68" s="43">
        <f t="shared" si="10"/>
        <v>279963.80159030668</v>
      </c>
      <c r="Z68" s="45">
        <f t="shared" si="11"/>
        <v>4.2557587345761622E-3</v>
      </c>
    </row>
    <row r="69" spans="1:26">
      <c r="A69" s="42" t="s">
        <v>211</v>
      </c>
      <c r="B69" s="42" t="s">
        <v>212</v>
      </c>
      <c r="C69" s="42" t="s">
        <v>8</v>
      </c>
      <c r="D69" s="43">
        <v>84</v>
      </c>
      <c r="E69" s="43">
        <v>22059200</v>
      </c>
      <c r="F69" s="43">
        <v>3477</v>
      </c>
      <c r="G69" s="43">
        <v>1932932700</v>
      </c>
      <c r="H69" s="43"/>
      <c r="I69" s="43"/>
      <c r="J69" s="43"/>
      <c r="K69" s="43"/>
      <c r="L69" s="43">
        <v>356</v>
      </c>
      <c r="M69" s="43">
        <v>583650400</v>
      </c>
      <c r="N69" s="43">
        <v>238</v>
      </c>
      <c r="O69" s="43">
        <v>304180100</v>
      </c>
      <c r="P69" s="43">
        <v>36</v>
      </c>
      <c r="Q69" s="43">
        <v>96438300</v>
      </c>
      <c r="R69" s="43">
        <v>82</v>
      </c>
      <c r="S69" s="43">
        <v>183032000</v>
      </c>
      <c r="T69" s="44">
        <f t="shared" si="6"/>
        <v>3917</v>
      </c>
      <c r="U69" s="44">
        <f t="shared" si="6"/>
        <v>2538642300</v>
      </c>
      <c r="V69" s="45">
        <f t="shared" si="7"/>
        <v>0.76140411746861703</v>
      </c>
      <c r="W69" s="44">
        <f t="shared" si="8"/>
        <v>3477</v>
      </c>
      <c r="X69" s="44">
        <f t="shared" si="9"/>
        <v>2115964700</v>
      </c>
      <c r="Y69" s="43">
        <f t="shared" si="10"/>
        <v>555919.67213114758</v>
      </c>
      <c r="Z69" s="45">
        <f t="shared" si="11"/>
        <v>7.2098381091341618E-2</v>
      </c>
    </row>
    <row r="70" spans="1:26">
      <c r="A70" s="42" t="s">
        <v>213</v>
      </c>
      <c r="B70" s="42" t="s">
        <v>214</v>
      </c>
      <c r="C70" s="42" t="s">
        <v>8</v>
      </c>
      <c r="D70" s="43">
        <v>124</v>
      </c>
      <c r="E70" s="43">
        <v>154005400</v>
      </c>
      <c r="F70" s="43">
        <v>8118</v>
      </c>
      <c r="G70" s="43">
        <v>4052386800</v>
      </c>
      <c r="H70" s="43">
        <v>4</v>
      </c>
      <c r="I70" s="43">
        <v>1479800</v>
      </c>
      <c r="J70" s="43">
        <v>4</v>
      </c>
      <c r="K70" s="43">
        <v>22400</v>
      </c>
      <c r="L70" s="43">
        <v>441</v>
      </c>
      <c r="M70" s="43">
        <v>3769888300</v>
      </c>
      <c r="N70" s="43">
        <v>414</v>
      </c>
      <c r="O70" s="43">
        <v>3625769000</v>
      </c>
      <c r="P70" s="43">
        <v>26</v>
      </c>
      <c r="Q70" s="43">
        <v>125476500</v>
      </c>
      <c r="R70" s="43">
        <v>1</v>
      </c>
      <c r="S70" s="43">
        <v>18642800</v>
      </c>
      <c r="T70" s="44">
        <f t="shared" si="6"/>
        <v>8691</v>
      </c>
      <c r="U70" s="44">
        <f t="shared" si="6"/>
        <v>7977782700</v>
      </c>
      <c r="V70" s="45">
        <f t="shared" si="7"/>
        <v>0.50814452491918582</v>
      </c>
      <c r="W70" s="44">
        <f t="shared" si="8"/>
        <v>8122</v>
      </c>
      <c r="X70" s="44">
        <f t="shared" si="9"/>
        <v>4072509400</v>
      </c>
      <c r="Y70" s="43">
        <f t="shared" si="10"/>
        <v>499121.71878847573</v>
      </c>
      <c r="Z70" s="45">
        <f t="shared" si="11"/>
        <v>2.3368397838161221E-3</v>
      </c>
    </row>
    <row r="71" spans="1:26">
      <c r="A71" s="42" t="s">
        <v>215</v>
      </c>
      <c r="B71" s="42" t="s">
        <v>216</v>
      </c>
      <c r="C71" s="42" t="s">
        <v>8</v>
      </c>
      <c r="D71" s="43">
        <v>64</v>
      </c>
      <c r="E71" s="43">
        <v>12580100</v>
      </c>
      <c r="F71" s="43">
        <v>2899</v>
      </c>
      <c r="G71" s="43">
        <v>1496844100</v>
      </c>
      <c r="H71" s="43"/>
      <c r="I71" s="43"/>
      <c r="J71" s="43"/>
      <c r="K71" s="43"/>
      <c r="L71" s="43">
        <v>110</v>
      </c>
      <c r="M71" s="43">
        <v>216751300</v>
      </c>
      <c r="N71" s="43">
        <v>97</v>
      </c>
      <c r="O71" s="43">
        <v>196708000</v>
      </c>
      <c r="P71" s="43">
        <v>3</v>
      </c>
      <c r="Q71" s="43">
        <v>3379800</v>
      </c>
      <c r="R71" s="43">
        <v>10</v>
      </c>
      <c r="S71" s="43">
        <v>16663500</v>
      </c>
      <c r="T71" s="44">
        <f t="shared" si="6"/>
        <v>3073</v>
      </c>
      <c r="U71" s="44">
        <f t="shared" si="6"/>
        <v>1726175500</v>
      </c>
      <c r="V71" s="45">
        <f t="shared" si="7"/>
        <v>0.86714479495277275</v>
      </c>
      <c r="W71" s="44">
        <f t="shared" si="8"/>
        <v>2899</v>
      </c>
      <c r="X71" s="44">
        <f t="shared" si="9"/>
        <v>1513507600</v>
      </c>
      <c r="Y71" s="43">
        <f t="shared" si="10"/>
        <v>516331.1831666092</v>
      </c>
      <c r="Z71" s="45">
        <f t="shared" si="11"/>
        <v>9.6534216827894957E-3</v>
      </c>
    </row>
    <row r="72" spans="1:26">
      <c r="A72" s="42" t="s">
        <v>217</v>
      </c>
      <c r="B72" s="42" t="s">
        <v>218</v>
      </c>
      <c r="C72" s="42" t="s">
        <v>8</v>
      </c>
      <c r="D72" s="43">
        <v>184</v>
      </c>
      <c r="E72" s="43">
        <v>46368500</v>
      </c>
      <c r="F72" s="43">
        <v>5059</v>
      </c>
      <c r="G72" s="43">
        <v>2174431500</v>
      </c>
      <c r="H72" s="43"/>
      <c r="I72" s="43"/>
      <c r="J72" s="43"/>
      <c r="K72" s="43"/>
      <c r="L72" s="43">
        <v>248</v>
      </c>
      <c r="M72" s="43">
        <v>565514600</v>
      </c>
      <c r="N72" s="43">
        <v>215</v>
      </c>
      <c r="O72" s="43">
        <v>434209900</v>
      </c>
      <c r="P72" s="43">
        <v>27</v>
      </c>
      <c r="Q72" s="43">
        <v>116661200</v>
      </c>
      <c r="R72" s="43">
        <v>6</v>
      </c>
      <c r="S72" s="43">
        <v>14643500</v>
      </c>
      <c r="T72" s="44">
        <f t="shared" si="6"/>
        <v>5491</v>
      </c>
      <c r="U72" s="44">
        <f t="shared" si="6"/>
        <v>2786314600</v>
      </c>
      <c r="V72" s="45">
        <f t="shared" si="7"/>
        <v>0.7803969802979176</v>
      </c>
      <c r="W72" s="44">
        <f t="shared" si="8"/>
        <v>5059</v>
      </c>
      <c r="X72" s="44">
        <f t="shared" si="9"/>
        <v>2189075000</v>
      </c>
      <c r="Y72" s="43">
        <f t="shared" si="10"/>
        <v>429814.48902945244</v>
      </c>
      <c r="Z72" s="45">
        <f t="shared" si="11"/>
        <v>5.2555084770398866E-3</v>
      </c>
    </row>
    <row r="73" spans="1:26">
      <c r="A73" s="42" t="s">
        <v>219</v>
      </c>
      <c r="B73" s="42" t="s">
        <v>220</v>
      </c>
      <c r="C73" s="42" t="s">
        <v>8</v>
      </c>
      <c r="D73" s="43">
        <v>100</v>
      </c>
      <c r="E73" s="43">
        <v>66440200</v>
      </c>
      <c r="F73" s="43">
        <v>2499</v>
      </c>
      <c r="G73" s="43">
        <v>1252327000</v>
      </c>
      <c r="H73" s="43"/>
      <c r="I73" s="43"/>
      <c r="J73" s="43"/>
      <c r="K73" s="43"/>
      <c r="L73" s="43">
        <v>326</v>
      </c>
      <c r="M73" s="43">
        <v>532805800</v>
      </c>
      <c r="N73" s="43">
        <v>225</v>
      </c>
      <c r="O73" s="43">
        <v>242269400</v>
      </c>
      <c r="P73" s="43">
        <v>87</v>
      </c>
      <c r="Q73" s="43">
        <v>228205600</v>
      </c>
      <c r="R73" s="43">
        <v>14</v>
      </c>
      <c r="S73" s="43">
        <v>62330800</v>
      </c>
      <c r="T73" s="44">
        <f t="shared" si="6"/>
        <v>2925</v>
      </c>
      <c r="U73" s="44">
        <f t="shared" si="6"/>
        <v>1851573000</v>
      </c>
      <c r="V73" s="45">
        <f t="shared" si="7"/>
        <v>0.67635842605179486</v>
      </c>
      <c r="W73" s="44">
        <f t="shared" si="8"/>
        <v>2499</v>
      </c>
      <c r="X73" s="44">
        <f t="shared" si="9"/>
        <v>1314657800</v>
      </c>
      <c r="Y73" s="43">
        <f t="shared" si="10"/>
        <v>501131.25250100042</v>
      </c>
      <c r="Z73" s="45">
        <f t="shared" si="11"/>
        <v>3.3663701080108646E-2</v>
      </c>
    </row>
    <row r="74" spans="1:26">
      <c r="A74" s="42" t="s">
        <v>221</v>
      </c>
      <c r="B74" s="42" t="s">
        <v>222</v>
      </c>
      <c r="C74" s="42" t="s">
        <v>8</v>
      </c>
      <c r="D74" s="43">
        <v>41</v>
      </c>
      <c r="E74" s="43">
        <v>26709200</v>
      </c>
      <c r="F74" s="43">
        <v>2869</v>
      </c>
      <c r="G74" s="43">
        <v>1046356100</v>
      </c>
      <c r="H74" s="43"/>
      <c r="I74" s="43"/>
      <c r="J74" s="43"/>
      <c r="K74" s="43"/>
      <c r="L74" s="43">
        <v>249</v>
      </c>
      <c r="M74" s="43">
        <v>493532500</v>
      </c>
      <c r="N74" s="43">
        <v>169</v>
      </c>
      <c r="O74" s="43">
        <v>321408400</v>
      </c>
      <c r="P74" s="43">
        <v>38</v>
      </c>
      <c r="Q74" s="43">
        <v>55895900</v>
      </c>
      <c r="R74" s="43">
        <v>42</v>
      </c>
      <c r="S74" s="43">
        <v>116228200</v>
      </c>
      <c r="T74" s="44">
        <f t="shared" si="6"/>
        <v>3159</v>
      </c>
      <c r="U74" s="44">
        <f t="shared" si="6"/>
        <v>1566597800</v>
      </c>
      <c r="V74" s="45">
        <f t="shared" si="7"/>
        <v>0.66791623223267649</v>
      </c>
      <c r="W74" s="44">
        <f t="shared" si="8"/>
        <v>2869</v>
      </c>
      <c r="X74" s="44">
        <f t="shared" si="9"/>
        <v>1162584300</v>
      </c>
      <c r="Y74" s="43">
        <f t="shared" si="10"/>
        <v>364711.08400139422</v>
      </c>
      <c r="Z74" s="45">
        <f t="shared" si="11"/>
        <v>7.4191474033730928E-2</v>
      </c>
    </row>
    <row r="75" spans="1:26">
      <c r="A75" s="42" t="s">
        <v>223</v>
      </c>
      <c r="B75" s="42" t="s">
        <v>224</v>
      </c>
      <c r="C75" s="42" t="s">
        <v>8</v>
      </c>
      <c r="D75" s="43">
        <v>92</v>
      </c>
      <c r="E75" s="43">
        <v>19347800</v>
      </c>
      <c r="F75" s="43">
        <v>7445</v>
      </c>
      <c r="G75" s="43">
        <v>5972283900</v>
      </c>
      <c r="H75" s="43"/>
      <c r="I75" s="43"/>
      <c r="J75" s="43"/>
      <c r="K75" s="43"/>
      <c r="L75" s="43">
        <v>361</v>
      </c>
      <c r="M75" s="43">
        <v>736215300</v>
      </c>
      <c r="N75" s="43">
        <v>335</v>
      </c>
      <c r="O75" s="43">
        <v>619430500</v>
      </c>
      <c r="P75" s="43"/>
      <c r="Q75" s="43"/>
      <c r="R75" s="43">
        <v>26</v>
      </c>
      <c r="S75" s="43">
        <v>116784800</v>
      </c>
      <c r="T75" s="44">
        <f t="shared" si="6"/>
        <v>7898</v>
      </c>
      <c r="U75" s="44">
        <f t="shared" si="6"/>
        <v>6727847000</v>
      </c>
      <c r="V75" s="45">
        <f t="shared" si="7"/>
        <v>0.88769615301893756</v>
      </c>
      <c r="W75" s="44">
        <f t="shared" si="8"/>
        <v>7445</v>
      </c>
      <c r="X75" s="44">
        <f t="shared" si="9"/>
        <v>6089068700</v>
      </c>
      <c r="Y75" s="43">
        <f t="shared" si="10"/>
        <v>802187.22632639355</v>
      </c>
      <c r="Z75" s="45">
        <f t="shared" si="11"/>
        <v>1.7358420903448014E-2</v>
      </c>
    </row>
    <row r="76" spans="1:26">
      <c r="A76" s="42" t="s">
        <v>225</v>
      </c>
      <c r="B76" s="42" t="s">
        <v>226</v>
      </c>
      <c r="C76" s="42" t="s">
        <v>8</v>
      </c>
      <c r="D76" s="43">
        <v>32</v>
      </c>
      <c r="E76" s="43">
        <v>6331700</v>
      </c>
      <c r="F76" s="43">
        <v>3221</v>
      </c>
      <c r="G76" s="43">
        <v>1414404500</v>
      </c>
      <c r="H76" s="43"/>
      <c r="I76" s="43"/>
      <c r="J76" s="43"/>
      <c r="K76" s="43"/>
      <c r="L76" s="43">
        <v>138</v>
      </c>
      <c r="M76" s="43">
        <v>195765200</v>
      </c>
      <c r="N76" s="43">
        <v>119</v>
      </c>
      <c r="O76" s="43">
        <v>113153700</v>
      </c>
      <c r="P76" s="43">
        <v>4</v>
      </c>
      <c r="Q76" s="43">
        <v>12088000</v>
      </c>
      <c r="R76" s="43">
        <v>15</v>
      </c>
      <c r="S76" s="43">
        <v>70523500</v>
      </c>
      <c r="T76" s="44">
        <f t="shared" si="6"/>
        <v>3391</v>
      </c>
      <c r="U76" s="44">
        <f t="shared" si="6"/>
        <v>1616501400</v>
      </c>
      <c r="V76" s="45">
        <f t="shared" si="7"/>
        <v>0.87497882773253399</v>
      </c>
      <c r="W76" s="44">
        <f t="shared" si="8"/>
        <v>3221</v>
      </c>
      <c r="X76" s="44">
        <f t="shared" si="9"/>
        <v>1484928000</v>
      </c>
      <c r="Y76" s="43">
        <f t="shared" si="10"/>
        <v>439119.68332815898</v>
      </c>
      <c r="Z76" s="45">
        <f t="shared" si="11"/>
        <v>4.362724337881798E-2</v>
      </c>
    </row>
    <row r="77" spans="1:26">
      <c r="A77" s="42" t="s">
        <v>227</v>
      </c>
      <c r="B77" s="42" t="s">
        <v>228</v>
      </c>
      <c r="C77" s="42" t="s">
        <v>8</v>
      </c>
      <c r="D77" s="43">
        <v>63</v>
      </c>
      <c r="E77" s="43">
        <v>27018600</v>
      </c>
      <c r="F77" s="43">
        <v>3292</v>
      </c>
      <c r="G77" s="43">
        <v>1958207600</v>
      </c>
      <c r="H77" s="43">
        <v>1</v>
      </c>
      <c r="I77" s="43">
        <v>1791500</v>
      </c>
      <c r="J77" s="43"/>
      <c r="K77" s="43"/>
      <c r="L77" s="43">
        <v>43</v>
      </c>
      <c r="M77" s="43">
        <v>116979200</v>
      </c>
      <c r="N77" s="43">
        <v>39</v>
      </c>
      <c r="O77" s="43">
        <v>103944500</v>
      </c>
      <c r="P77" s="43"/>
      <c r="Q77" s="43"/>
      <c r="R77" s="43">
        <v>4</v>
      </c>
      <c r="S77" s="43">
        <v>13034700</v>
      </c>
      <c r="T77" s="44">
        <f t="shared" si="6"/>
        <v>3399</v>
      </c>
      <c r="U77" s="44">
        <f t="shared" si="6"/>
        <v>2103996900</v>
      </c>
      <c r="V77" s="45">
        <f t="shared" si="7"/>
        <v>0.93155988015001356</v>
      </c>
      <c r="W77" s="44">
        <f t="shared" si="8"/>
        <v>3293</v>
      </c>
      <c r="X77" s="44">
        <f t="shared" si="9"/>
        <v>1973033800</v>
      </c>
      <c r="Y77" s="43">
        <f t="shared" si="10"/>
        <v>595201.6702095354</v>
      </c>
      <c r="Z77" s="45">
        <f t="shared" si="11"/>
        <v>6.1952087476934972E-3</v>
      </c>
    </row>
    <row r="78" spans="1:26">
      <c r="A78" s="42" t="s">
        <v>229</v>
      </c>
      <c r="B78" s="42" t="s">
        <v>230</v>
      </c>
      <c r="C78" s="42" t="s">
        <v>8</v>
      </c>
      <c r="D78" s="43">
        <v>62</v>
      </c>
      <c r="E78" s="43">
        <v>8761001</v>
      </c>
      <c r="F78" s="43">
        <v>1801</v>
      </c>
      <c r="G78" s="43">
        <v>416907900</v>
      </c>
      <c r="H78" s="43"/>
      <c r="I78" s="43"/>
      <c r="J78" s="43"/>
      <c r="K78" s="43"/>
      <c r="L78" s="43">
        <v>155</v>
      </c>
      <c r="M78" s="43">
        <v>259698400</v>
      </c>
      <c r="N78" s="43">
        <v>127</v>
      </c>
      <c r="O78" s="43">
        <v>211950500</v>
      </c>
      <c r="P78" s="43">
        <v>23</v>
      </c>
      <c r="Q78" s="43">
        <v>23848800</v>
      </c>
      <c r="R78" s="43">
        <v>5</v>
      </c>
      <c r="S78" s="43">
        <v>23899100</v>
      </c>
      <c r="T78" s="44">
        <f t="shared" si="6"/>
        <v>2018</v>
      </c>
      <c r="U78" s="44">
        <f t="shared" si="6"/>
        <v>685367301</v>
      </c>
      <c r="V78" s="45">
        <f t="shared" si="7"/>
        <v>0.6082984983259363</v>
      </c>
      <c r="W78" s="44">
        <f t="shared" si="8"/>
        <v>1801</v>
      </c>
      <c r="X78" s="44">
        <f t="shared" si="9"/>
        <v>440807000</v>
      </c>
      <c r="Y78" s="43">
        <f t="shared" si="10"/>
        <v>231486.89616879512</v>
      </c>
      <c r="Z78" s="45">
        <f t="shared" si="11"/>
        <v>3.4870499314935952E-2</v>
      </c>
    </row>
    <row r="79" spans="1:26">
      <c r="A79" s="42" t="s">
        <v>231</v>
      </c>
      <c r="B79" s="42" t="s">
        <v>232</v>
      </c>
      <c r="C79" s="42" t="s">
        <v>8</v>
      </c>
      <c r="D79" s="43">
        <v>11</v>
      </c>
      <c r="E79" s="43">
        <v>10274956</v>
      </c>
      <c r="F79" s="43">
        <v>73</v>
      </c>
      <c r="G79" s="43">
        <v>148789000</v>
      </c>
      <c r="H79" s="43"/>
      <c r="I79" s="43"/>
      <c r="J79" s="43"/>
      <c r="K79" s="43"/>
      <c r="L79" s="43">
        <v>17</v>
      </c>
      <c r="M79" s="43">
        <v>112866900</v>
      </c>
      <c r="N79" s="43">
        <v>17</v>
      </c>
      <c r="O79" s="43">
        <v>112866900</v>
      </c>
      <c r="P79" s="43"/>
      <c r="Q79" s="43"/>
      <c r="R79" s="43"/>
      <c r="S79" s="43"/>
      <c r="T79" s="44">
        <f t="shared" si="6"/>
        <v>101</v>
      </c>
      <c r="U79" s="44">
        <f t="shared" si="6"/>
        <v>271930856</v>
      </c>
      <c r="V79" s="45">
        <f t="shared" si="7"/>
        <v>0.54715747300115147</v>
      </c>
      <c r="W79" s="44">
        <f t="shared" si="8"/>
        <v>73</v>
      </c>
      <c r="X79" s="44">
        <f t="shared" si="9"/>
        <v>148789000</v>
      </c>
      <c r="Y79" s="43">
        <f t="shared" si="10"/>
        <v>2038205.4794520547</v>
      </c>
      <c r="Z79" s="45">
        <f t="shared" si="11"/>
        <v>0</v>
      </c>
    </row>
    <row r="80" spans="1:26">
      <c r="A80" s="42" t="s">
        <v>233</v>
      </c>
      <c r="B80" s="42" t="s">
        <v>234</v>
      </c>
      <c r="C80" s="42" t="s">
        <v>8</v>
      </c>
      <c r="D80" s="43">
        <v>79</v>
      </c>
      <c r="E80" s="43">
        <v>45949700</v>
      </c>
      <c r="F80" s="43">
        <v>5011</v>
      </c>
      <c r="G80" s="43">
        <v>2251611300</v>
      </c>
      <c r="H80" s="43"/>
      <c r="I80" s="43"/>
      <c r="J80" s="43"/>
      <c r="K80" s="43"/>
      <c r="L80" s="43">
        <v>313</v>
      </c>
      <c r="M80" s="43">
        <v>550857700</v>
      </c>
      <c r="N80" s="43">
        <v>251</v>
      </c>
      <c r="O80" s="43">
        <v>344226000</v>
      </c>
      <c r="P80" s="43">
        <v>25</v>
      </c>
      <c r="Q80" s="43">
        <v>95127200</v>
      </c>
      <c r="R80" s="43">
        <v>37</v>
      </c>
      <c r="S80" s="43">
        <v>111504500</v>
      </c>
      <c r="T80" s="44">
        <f t="shared" si="6"/>
        <v>5403</v>
      </c>
      <c r="U80" s="44">
        <f t="shared" si="6"/>
        <v>2848418700</v>
      </c>
      <c r="V80" s="45">
        <f t="shared" si="7"/>
        <v>0.7904776429111352</v>
      </c>
      <c r="W80" s="44">
        <f t="shared" si="8"/>
        <v>5011</v>
      </c>
      <c r="X80" s="44">
        <f t="shared" si="9"/>
        <v>2363115800</v>
      </c>
      <c r="Y80" s="43">
        <f t="shared" si="10"/>
        <v>449333.72580323287</v>
      </c>
      <c r="Z80" s="45">
        <f t="shared" si="11"/>
        <v>3.9146105872707546E-2</v>
      </c>
    </row>
    <row r="81" spans="1:26">
      <c r="A81" s="42" t="s">
        <v>235</v>
      </c>
      <c r="B81" s="42" t="s">
        <v>236</v>
      </c>
      <c r="C81" s="42" t="s">
        <v>8</v>
      </c>
      <c r="D81" s="43">
        <v>65</v>
      </c>
      <c r="E81" s="43">
        <v>9870800</v>
      </c>
      <c r="F81" s="43">
        <v>4143</v>
      </c>
      <c r="G81" s="43">
        <v>779770600</v>
      </c>
      <c r="H81" s="43"/>
      <c r="I81" s="43"/>
      <c r="J81" s="43"/>
      <c r="K81" s="43"/>
      <c r="L81" s="43">
        <v>210</v>
      </c>
      <c r="M81" s="43">
        <v>398150454</v>
      </c>
      <c r="N81" s="43">
        <v>124</v>
      </c>
      <c r="O81" s="43">
        <v>207328400</v>
      </c>
      <c r="P81" s="43">
        <v>79</v>
      </c>
      <c r="Q81" s="43">
        <v>161843754</v>
      </c>
      <c r="R81" s="43">
        <v>7</v>
      </c>
      <c r="S81" s="43">
        <v>28978300</v>
      </c>
      <c r="T81" s="44">
        <f t="shared" si="6"/>
        <v>4418</v>
      </c>
      <c r="U81" s="44">
        <f t="shared" si="6"/>
        <v>1187791854</v>
      </c>
      <c r="V81" s="45">
        <f t="shared" si="7"/>
        <v>0.65648758018843933</v>
      </c>
      <c r="W81" s="44">
        <f t="shared" si="8"/>
        <v>4143</v>
      </c>
      <c r="X81" s="44">
        <f t="shared" si="9"/>
        <v>808748900</v>
      </c>
      <c r="Y81" s="43">
        <f t="shared" si="10"/>
        <v>188213.99951725802</v>
      </c>
      <c r="Z81" s="45">
        <f t="shared" si="11"/>
        <v>2.4396782906376119E-2</v>
      </c>
    </row>
    <row r="82" spans="1:26">
      <c r="A82" s="42" t="s">
        <v>237</v>
      </c>
      <c r="B82" s="42" t="s">
        <v>238</v>
      </c>
      <c r="C82" s="42" t="s">
        <v>8</v>
      </c>
      <c r="D82" s="43">
        <v>101</v>
      </c>
      <c r="E82" s="43">
        <v>66353600</v>
      </c>
      <c r="F82" s="43">
        <v>1220</v>
      </c>
      <c r="G82" s="43">
        <v>2009672700</v>
      </c>
      <c r="H82" s="43">
        <v>5</v>
      </c>
      <c r="I82" s="43">
        <v>9025500</v>
      </c>
      <c r="J82" s="43">
        <v>10</v>
      </c>
      <c r="K82" s="43">
        <v>102400</v>
      </c>
      <c r="L82" s="43">
        <v>18</v>
      </c>
      <c r="M82" s="43">
        <v>57162400</v>
      </c>
      <c r="N82" s="43">
        <v>18</v>
      </c>
      <c r="O82" s="43">
        <v>57162400</v>
      </c>
      <c r="P82" s="43"/>
      <c r="Q82" s="43"/>
      <c r="R82" s="43"/>
      <c r="S82" s="43"/>
      <c r="T82" s="44">
        <f t="shared" si="6"/>
        <v>1354</v>
      </c>
      <c r="U82" s="44">
        <f t="shared" si="6"/>
        <v>2142316600</v>
      </c>
      <c r="V82" s="45">
        <f t="shared" si="7"/>
        <v>0.94229685752329972</v>
      </c>
      <c r="W82" s="44">
        <f t="shared" si="8"/>
        <v>1225</v>
      </c>
      <c r="X82" s="44">
        <f t="shared" si="9"/>
        <v>2018698200</v>
      </c>
      <c r="Y82" s="43">
        <f t="shared" si="10"/>
        <v>1647916.8979591837</v>
      </c>
      <c r="Z82" s="45">
        <f t="shared" si="11"/>
        <v>0</v>
      </c>
    </row>
    <row r="83" spans="1:26">
      <c r="A83" s="42" t="s">
        <v>239</v>
      </c>
      <c r="B83" s="42" t="s">
        <v>240</v>
      </c>
      <c r="C83" s="42" t="s">
        <v>8</v>
      </c>
      <c r="D83" s="43">
        <v>58</v>
      </c>
      <c r="E83" s="43">
        <v>5227400</v>
      </c>
      <c r="F83" s="43">
        <v>516</v>
      </c>
      <c r="G83" s="43">
        <v>118039900</v>
      </c>
      <c r="H83" s="43"/>
      <c r="I83" s="43"/>
      <c r="J83" s="43"/>
      <c r="K83" s="43"/>
      <c r="L83" s="43">
        <v>222</v>
      </c>
      <c r="M83" s="43">
        <v>256966800</v>
      </c>
      <c r="N83" s="43">
        <v>55</v>
      </c>
      <c r="O83" s="43">
        <v>44447700</v>
      </c>
      <c r="P83" s="43">
        <v>167</v>
      </c>
      <c r="Q83" s="43">
        <v>212519100</v>
      </c>
      <c r="R83" s="43"/>
      <c r="S83" s="43"/>
      <c r="T83" s="44">
        <f t="shared" si="6"/>
        <v>796</v>
      </c>
      <c r="U83" s="44">
        <f t="shared" si="6"/>
        <v>380234100</v>
      </c>
      <c r="V83" s="45">
        <f t="shared" si="7"/>
        <v>0.31044006836840776</v>
      </c>
      <c r="W83" s="44">
        <f t="shared" si="8"/>
        <v>516</v>
      </c>
      <c r="X83" s="44">
        <f t="shared" si="9"/>
        <v>118039900</v>
      </c>
      <c r="Y83" s="43">
        <f t="shared" si="10"/>
        <v>228759.49612403102</v>
      </c>
      <c r="Z83" s="45">
        <f t="shared" si="11"/>
        <v>0</v>
      </c>
    </row>
    <row r="84" spans="1:26">
      <c r="A84" s="42" t="s">
        <v>241</v>
      </c>
      <c r="B84" s="42" t="s">
        <v>242</v>
      </c>
      <c r="C84" s="42" t="s">
        <v>8</v>
      </c>
      <c r="D84" s="43">
        <v>149</v>
      </c>
      <c r="E84" s="43">
        <v>29911100</v>
      </c>
      <c r="F84" s="43">
        <v>11272</v>
      </c>
      <c r="G84" s="43">
        <v>5239172100</v>
      </c>
      <c r="H84" s="43"/>
      <c r="I84" s="43"/>
      <c r="J84" s="43"/>
      <c r="K84" s="43"/>
      <c r="L84" s="43">
        <v>460</v>
      </c>
      <c r="M84" s="43">
        <v>819600200</v>
      </c>
      <c r="N84" s="43">
        <v>386</v>
      </c>
      <c r="O84" s="43">
        <v>575765100</v>
      </c>
      <c r="P84" s="43">
        <v>16</v>
      </c>
      <c r="Q84" s="43">
        <v>45394000</v>
      </c>
      <c r="R84" s="43">
        <v>58</v>
      </c>
      <c r="S84" s="43">
        <v>198441100</v>
      </c>
      <c r="T84" s="44">
        <f t="shared" si="6"/>
        <v>11881</v>
      </c>
      <c r="U84" s="44">
        <f t="shared" si="6"/>
        <v>6088683400</v>
      </c>
      <c r="V84" s="45">
        <f t="shared" si="7"/>
        <v>0.86047701215668404</v>
      </c>
      <c r="W84" s="44">
        <f t="shared" si="8"/>
        <v>11272</v>
      </c>
      <c r="X84" s="44">
        <f t="shared" si="9"/>
        <v>5437613200</v>
      </c>
      <c r="Y84" s="43">
        <f t="shared" si="10"/>
        <v>464795.25372604682</v>
      </c>
      <c r="Z84" s="45">
        <f t="shared" si="11"/>
        <v>3.2591791519329123E-2</v>
      </c>
    </row>
    <row r="85" spans="1:26">
      <c r="A85" s="42" t="s">
        <v>243</v>
      </c>
      <c r="B85" s="42" t="s">
        <v>244</v>
      </c>
      <c r="C85" s="42" t="s">
        <v>8</v>
      </c>
      <c r="D85" s="43">
        <v>159</v>
      </c>
      <c r="E85" s="43">
        <v>26820700</v>
      </c>
      <c r="F85" s="43">
        <v>4286</v>
      </c>
      <c r="G85" s="43">
        <v>2764805400</v>
      </c>
      <c r="H85" s="43"/>
      <c r="I85" s="43"/>
      <c r="J85" s="43"/>
      <c r="K85" s="43"/>
      <c r="L85" s="43">
        <v>195</v>
      </c>
      <c r="M85" s="43">
        <v>213748400</v>
      </c>
      <c r="N85" s="43">
        <v>177</v>
      </c>
      <c r="O85" s="43">
        <v>177302800</v>
      </c>
      <c r="P85" s="43">
        <v>11</v>
      </c>
      <c r="Q85" s="43">
        <v>8610300</v>
      </c>
      <c r="R85" s="43">
        <v>7</v>
      </c>
      <c r="S85" s="43">
        <v>27835300</v>
      </c>
      <c r="T85" s="44">
        <f t="shared" si="6"/>
        <v>4640</v>
      </c>
      <c r="U85" s="44">
        <f t="shared" si="6"/>
        <v>3005374500</v>
      </c>
      <c r="V85" s="45">
        <f t="shared" si="7"/>
        <v>0.91995370294118084</v>
      </c>
      <c r="W85" s="44">
        <f t="shared" si="8"/>
        <v>4286</v>
      </c>
      <c r="X85" s="44">
        <f t="shared" si="9"/>
        <v>2792640700</v>
      </c>
      <c r="Y85" s="43">
        <f t="shared" si="10"/>
        <v>645078.25478301442</v>
      </c>
      <c r="Z85" s="45">
        <f t="shared" si="11"/>
        <v>9.2618407456375243E-3</v>
      </c>
    </row>
    <row r="86" spans="1:26">
      <c r="A86" s="42" t="s">
        <v>245</v>
      </c>
      <c r="B86" s="42" t="s">
        <v>246</v>
      </c>
      <c r="C86" s="42" t="s">
        <v>8</v>
      </c>
      <c r="D86" s="43">
        <v>9</v>
      </c>
      <c r="E86" s="43">
        <v>1473000</v>
      </c>
      <c r="F86" s="43">
        <v>7</v>
      </c>
      <c r="G86" s="43">
        <v>1095200</v>
      </c>
      <c r="H86" s="43"/>
      <c r="I86" s="43"/>
      <c r="J86" s="43"/>
      <c r="K86" s="43"/>
      <c r="L86" s="43">
        <v>68</v>
      </c>
      <c r="M86" s="43">
        <v>415985200</v>
      </c>
      <c r="N86" s="43">
        <v>9</v>
      </c>
      <c r="O86" s="43">
        <v>6344300</v>
      </c>
      <c r="P86" s="43">
        <v>58</v>
      </c>
      <c r="Q86" s="43">
        <v>408444600</v>
      </c>
      <c r="R86" s="43">
        <v>1</v>
      </c>
      <c r="S86" s="43">
        <v>1196300</v>
      </c>
      <c r="T86" s="44">
        <f t="shared" si="6"/>
        <v>84</v>
      </c>
      <c r="U86" s="44">
        <f t="shared" si="6"/>
        <v>418553400</v>
      </c>
      <c r="V86" s="45">
        <f t="shared" si="7"/>
        <v>2.6166314740245808E-3</v>
      </c>
      <c r="W86" s="44">
        <f t="shared" si="8"/>
        <v>7</v>
      </c>
      <c r="X86" s="44">
        <f t="shared" si="9"/>
        <v>2291500</v>
      </c>
      <c r="Y86" s="43">
        <f t="shared" si="10"/>
        <v>156457.14285714287</v>
      </c>
      <c r="Z86" s="45">
        <f t="shared" si="11"/>
        <v>2.8581777140025623E-3</v>
      </c>
    </row>
    <row r="87" spans="1:26">
      <c r="A87" s="42" t="s">
        <v>247</v>
      </c>
      <c r="B87" s="42" t="s">
        <v>248</v>
      </c>
      <c r="C87" s="42" t="s">
        <v>8</v>
      </c>
      <c r="D87" s="43">
        <v>75</v>
      </c>
      <c r="E87" s="43">
        <v>18827700</v>
      </c>
      <c r="F87" s="43">
        <v>2612</v>
      </c>
      <c r="G87" s="43">
        <v>1935156800</v>
      </c>
      <c r="H87" s="43"/>
      <c r="I87" s="43"/>
      <c r="J87" s="43"/>
      <c r="K87" s="43"/>
      <c r="L87" s="43">
        <v>75</v>
      </c>
      <c r="M87" s="43">
        <v>219976000</v>
      </c>
      <c r="N87" s="43">
        <v>69</v>
      </c>
      <c r="O87" s="43">
        <v>195207300</v>
      </c>
      <c r="P87" s="43">
        <v>4</v>
      </c>
      <c r="Q87" s="43">
        <v>6217700</v>
      </c>
      <c r="R87" s="43">
        <v>2</v>
      </c>
      <c r="S87" s="43">
        <v>18551000</v>
      </c>
      <c r="T87" s="44">
        <f t="shared" si="6"/>
        <v>2762</v>
      </c>
      <c r="U87" s="44">
        <f t="shared" si="6"/>
        <v>2173960500</v>
      </c>
      <c r="V87" s="45">
        <f t="shared" si="7"/>
        <v>0.89015269596664703</v>
      </c>
      <c r="W87" s="44">
        <f t="shared" si="8"/>
        <v>2612</v>
      </c>
      <c r="X87" s="44">
        <f t="shared" si="9"/>
        <v>1953707800</v>
      </c>
      <c r="Y87" s="43">
        <f t="shared" si="10"/>
        <v>740871.66921898932</v>
      </c>
      <c r="Z87" s="45">
        <f t="shared" si="11"/>
        <v>8.5332737186347221E-3</v>
      </c>
    </row>
    <row r="88" spans="1:26">
      <c r="A88" s="42" t="s">
        <v>249</v>
      </c>
      <c r="B88" s="42" t="s">
        <v>250</v>
      </c>
      <c r="C88" s="42" t="s">
        <v>8</v>
      </c>
      <c r="D88" s="43">
        <v>147</v>
      </c>
      <c r="E88" s="43">
        <v>15491500</v>
      </c>
      <c r="F88" s="43">
        <v>3324</v>
      </c>
      <c r="G88" s="43">
        <v>1397629300</v>
      </c>
      <c r="H88" s="43"/>
      <c r="I88" s="43"/>
      <c r="J88" s="43"/>
      <c r="K88" s="43"/>
      <c r="L88" s="43">
        <v>145</v>
      </c>
      <c r="M88" s="43">
        <v>147990300</v>
      </c>
      <c r="N88" s="43">
        <v>125</v>
      </c>
      <c r="O88" s="43">
        <v>118400700</v>
      </c>
      <c r="P88" s="43">
        <v>20</v>
      </c>
      <c r="Q88" s="43">
        <v>29589600</v>
      </c>
      <c r="R88" s="43"/>
      <c r="S88" s="43"/>
      <c r="T88" s="44">
        <f t="shared" si="6"/>
        <v>3616</v>
      </c>
      <c r="U88" s="44">
        <f t="shared" si="6"/>
        <v>1561111100</v>
      </c>
      <c r="V88" s="45">
        <f t="shared" si="7"/>
        <v>0.89527856153223173</v>
      </c>
      <c r="W88" s="44">
        <f t="shared" si="8"/>
        <v>3324</v>
      </c>
      <c r="X88" s="44">
        <f t="shared" si="9"/>
        <v>1397629300</v>
      </c>
      <c r="Y88" s="43">
        <f t="shared" si="10"/>
        <v>420466.09506618534</v>
      </c>
      <c r="Z88" s="45">
        <f t="shared" si="11"/>
        <v>0</v>
      </c>
    </row>
    <row r="89" spans="1:26">
      <c r="A89" s="42" t="s">
        <v>251</v>
      </c>
      <c r="B89" s="42" t="s">
        <v>252</v>
      </c>
      <c r="C89" s="42" t="s">
        <v>8</v>
      </c>
      <c r="D89" s="43">
        <v>49</v>
      </c>
      <c r="E89" s="43">
        <v>8502900</v>
      </c>
      <c r="F89" s="43">
        <v>2156</v>
      </c>
      <c r="G89" s="43">
        <v>888727800</v>
      </c>
      <c r="H89" s="43"/>
      <c r="I89" s="43"/>
      <c r="J89" s="43"/>
      <c r="K89" s="43"/>
      <c r="L89" s="43">
        <v>234</v>
      </c>
      <c r="M89" s="43">
        <v>303016700</v>
      </c>
      <c r="N89" s="43">
        <v>165</v>
      </c>
      <c r="O89" s="43">
        <v>145055200</v>
      </c>
      <c r="P89" s="43">
        <v>38</v>
      </c>
      <c r="Q89" s="43">
        <v>59260700</v>
      </c>
      <c r="R89" s="43">
        <v>31</v>
      </c>
      <c r="S89" s="43">
        <v>98700800</v>
      </c>
      <c r="T89" s="44">
        <f t="shared" si="6"/>
        <v>2439</v>
      </c>
      <c r="U89" s="44">
        <f t="shared" si="6"/>
        <v>1200247400</v>
      </c>
      <c r="V89" s="45">
        <f t="shared" si="7"/>
        <v>0.7404538430993477</v>
      </c>
      <c r="W89" s="44">
        <f t="shared" si="8"/>
        <v>2156</v>
      </c>
      <c r="X89" s="44">
        <f t="shared" si="9"/>
        <v>987428600</v>
      </c>
      <c r="Y89" s="43">
        <f t="shared" si="10"/>
        <v>412211.41001855285</v>
      </c>
      <c r="Z89" s="45">
        <f t="shared" si="11"/>
        <v>8.2233712816207727E-2</v>
      </c>
    </row>
    <row r="90" spans="1:26">
      <c r="A90" s="42" t="s">
        <v>253</v>
      </c>
      <c r="B90" s="42" t="s">
        <v>254</v>
      </c>
      <c r="C90" s="42" t="s">
        <v>8</v>
      </c>
      <c r="D90" s="43">
        <v>64</v>
      </c>
      <c r="E90" s="43">
        <v>12257900</v>
      </c>
      <c r="F90" s="43">
        <v>3374</v>
      </c>
      <c r="G90" s="43">
        <v>1849271300</v>
      </c>
      <c r="H90" s="43"/>
      <c r="I90" s="43"/>
      <c r="J90" s="43"/>
      <c r="K90" s="43"/>
      <c r="L90" s="43">
        <v>22</v>
      </c>
      <c r="M90" s="43">
        <v>50999600</v>
      </c>
      <c r="N90" s="43">
        <v>22</v>
      </c>
      <c r="O90" s="43">
        <v>50999600</v>
      </c>
      <c r="P90" s="43"/>
      <c r="Q90" s="43"/>
      <c r="R90" s="43"/>
      <c r="S90" s="43"/>
      <c r="T90" s="44">
        <f t="shared" si="6"/>
        <v>3460</v>
      </c>
      <c r="U90" s="44">
        <f t="shared" si="6"/>
        <v>1912528800</v>
      </c>
      <c r="V90" s="45">
        <f t="shared" si="7"/>
        <v>0.96692468108192675</v>
      </c>
      <c r="W90" s="44">
        <f t="shared" si="8"/>
        <v>3374</v>
      </c>
      <c r="X90" s="44">
        <f t="shared" si="9"/>
        <v>1849271300</v>
      </c>
      <c r="Y90" s="43">
        <f t="shared" si="10"/>
        <v>548094.63544753997</v>
      </c>
      <c r="Z90" s="45">
        <f t="shared" si="11"/>
        <v>0</v>
      </c>
    </row>
    <row r="91" spans="1:26">
      <c r="A91" s="42" t="s">
        <v>255</v>
      </c>
      <c r="B91" s="42" t="s">
        <v>256</v>
      </c>
      <c r="C91" s="42" t="s">
        <v>8</v>
      </c>
      <c r="D91" s="43">
        <v>97</v>
      </c>
      <c r="E91" s="43">
        <v>11385500</v>
      </c>
      <c r="F91" s="43">
        <v>3095</v>
      </c>
      <c r="G91" s="43">
        <v>1224665600</v>
      </c>
      <c r="H91" s="43"/>
      <c r="I91" s="43"/>
      <c r="J91" s="43"/>
      <c r="K91" s="43"/>
      <c r="L91" s="43">
        <v>299</v>
      </c>
      <c r="M91" s="43">
        <v>393993878</v>
      </c>
      <c r="N91" s="43">
        <v>238</v>
      </c>
      <c r="O91" s="43">
        <v>247613678</v>
      </c>
      <c r="P91" s="43">
        <v>34</v>
      </c>
      <c r="Q91" s="43">
        <v>39287500</v>
      </c>
      <c r="R91" s="43">
        <v>27</v>
      </c>
      <c r="S91" s="43">
        <v>107092700</v>
      </c>
      <c r="T91" s="44">
        <f t="shared" si="6"/>
        <v>3491</v>
      </c>
      <c r="U91" s="44">
        <f t="shared" si="6"/>
        <v>1630044978</v>
      </c>
      <c r="V91" s="45">
        <f t="shared" si="7"/>
        <v>0.75130785746943973</v>
      </c>
      <c r="W91" s="44">
        <f t="shared" si="8"/>
        <v>3095</v>
      </c>
      <c r="X91" s="44">
        <f t="shared" si="9"/>
        <v>1331758300</v>
      </c>
      <c r="Y91" s="43">
        <f t="shared" si="10"/>
        <v>395691.63166397414</v>
      </c>
      <c r="Z91" s="45">
        <f t="shared" si="11"/>
        <v>6.5699230049098681E-2</v>
      </c>
    </row>
    <row r="92" spans="1:26">
      <c r="A92" s="42" t="s">
        <v>257</v>
      </c>
      <c r="B92" s="42" t="s">
        <v>258</v>
      </c>
      <c r="C92" s="42" t="s">
        <v>8</v>
      </c>
      <c r="D92" s="43">
        <v>79</v>
      </c>
      <c r="E92" s="43">
        <v>16806600</v>
      </c>
      <c r="F92" s="43">
        <v>1871</v>
      </c>
      <c r="G92" s="43">
        <v>1218110700</v>
      </c>
      <c r="H92" s="43">
        <v>3</v>
      </c>
      <c r="I92" s="43">
        <v>930800</v>
      </c>
      <c r="J92" s="43">
        <v>3</v>
      </c>
      <c r="K92" s="43">
        <v>6400</v>
      </c>
      <c r="L92" s="43">
        <v>50</v>
      </c>
      <c r="M92" s="43">
        <v>415187600</v>
      </c>
      <c r="N92" s="43">
        <v>50</v>
      </c>
      <c r="O92" s="43">
        <v>415187600</v>
      </c>
      <c r="P92" s="43"/>
      <c r="Q92" s="43"/>
      <c r="R92" s="43"/>
      <c r="S92" s="43"/>
      <c r="T92" s="44">
        <f t="shared" si="6"/>
        <v>2006</v>
      </c>
      <c r="U92" s="44">
        <f t="shared" si="6"/>
        <v>1651042100</v>
      </c>
      <c r="V92" s="45">
        <f t="shared" si="7"/>
        <v>0.73834670842130556</v>
      </c>
      <c r="W92" s="44">
        <f t="shared" si="8"/>
        <v>1874</v>
      </c>
      <c r="X92" s="44">
        <f t="shared" si="9"/>
        <v>1219041500</v>
      </c>
      <c r="Y92" s="43">
        <f t="shared" si="10"/>
        <v>650502.401280683</v>
      </c>
      <c r="Z92" s="45">
        <f t="shared" si="11"/>
        <v>0</v>
      </c>
    </row>
    <row r="93" spans="1:26">
      <c r="A93" s="42" t="s">
        <v>259</v>
      </c>
      <c r="B93" s="42" t="s">
        <v>260</v>
      </c>
      <c r="C93" s="42" t="s">
        <v>8</v>
      </c>
      <c r="D93" s="43">
        <v>46</v>
      </c>
      <c r="E93" s="43">
        <v>56865200</v>
      </c>
      <c r="F93" s="43">
        <v>2481</v>
      </c>
      <c r="G93" s="43">
        <v>580594200</v>
      </c>
      <c r="H93" s="43"/>
      <c r="I93" s="43"/>
      <c r="J93" s="43"/>
      <c r="K93" s="43"/>
      <c r="L93" s="43">
        <v>102</v>
      </c>
      <c r="M93" s="43">
        <v>144450400</v>
      </c>
      <c r="N93" s="43">
        <v>66</v>
      </c>
      <c r="O93" s="43">
        <v>38213700</v>
      </c>
      <c r="P93" s="43">
        <v>23</v>
      </c>
      <c r="Q93" s="43">
        <v>87080400</v>
      </c>
      <c r="R93" s="43">
        <v>13</v>
      </c>
      <c r="S93" s="43">
        <v>19156300</v>
      </c>
      <c r="T93" s="44">
        <f t="shared" si="6"/>
        <v>2629</v>
      </c>
      <c r="U93" s="44">
        <f t="shared" si="6"/>
        <v>781909800</v>
      </c>
      <c r="V93" s="45">
        <f t="shared" si="7"/>
        <v>0.74253347380989465</v>
      </c>
      <c r="W93" s="44">
        <f t="shared" si="8"/>
        <v>2481</v>
      </c>
      <c r="X93" s="44">
        <f t="shared" si="9"/>
        <v>599750500</v>
      </c>
      <c r="Y93" s="43">
        <f t="shared" si="10"/>
        <v>234016.2031438936</v>
      </c>
      <c r="Z93" s="45">
        <f t="shared" si="11"/>
        <v>2.4499373201359032E-2</v>
      </c>
    </row>
    <row r="94" spans="1:26">
      <c r="A94" s="42" t="s">
        <v>261</v>
      </c>
      <c r="B94" s="42" t="s">
        <v>262</v>
      </c>
      <c r="C94" s="42" t="s">
        <v>8</v>
      </c>
      <c r="D94" s="43">
        <v>94</v>
      </c>
      <c r="E94" s="43">
        <v>36084500</v>
      </c>
      <c r="F94" s="43">
        <v>5533</v>
      </c>
      <c r="G94" s="43">
        <v>4357830290</v>
      </c>
      <c r="H94" s="43">
        <v>3</v>
      </c>
      <c r="I94" s="43">
        <v>3405300</v>
      </c>
      <c r="J94" s="43">
        <v>2</v>
      </c>
      <c r="K94" s="43">
        <v>27000</v>
      </c>
      <c r="L94" s="43">
        <v>160</v>
      </c>
      <c r="M94" s="43">
        <v>253861600</v>
      </c>
      <c r="N94" s="43">
        <v>140</v>
      </c>
      <c r="O94" s="43">
        <v>212141000</v>
      </c>
      <c r="P94" s="43">
        <v>18</v>
      </c>
      <c r="Q94" s="43">
        <v>40155000</v>
      </c>
      <c r="R94" s="43">
        <v>2</v>
      </c>
      <c r="S94" s="43">
        <v>1565600</v>
      </c>
      <c r="T94" s="44">
        <f t="shared" si="6"/>
        <v>5792</v>
      </c>
      <c r="U94" s="44">
        <f t="shared" si="6"/>
        <v>4651208690</v>
      </c>
      <c r="V94" s="45">
        <f t="shared" si="7"/>
        <v>0.93765639872847761</v>
      </c>
      <c r="W94" s="44">
        <f t="shared" si="8"/>
        <v>5536</v>
      </c>
      <c r="X94" s="44">
        <f t="shared" si="9"/>
        <v>4362801190</v>
      </c>
      <c r="Y94" s="43">
        <f t="shared" si="10"/>
        <v>787795.44617052027</v>
      </c>
      <c r="Z94" s="45">
        <f t="shared" si="11"/>
        <v>3.3660067830669623E-4</v>
      </c>
    </row>
    <row r="95" spans="1:26">
      <c r="A95" s="42" t="s">
        <v>263</v>
      </c>
      <c r="B95" s="42" t="s">
        <v>264</v>
      </c>
      <c r="C95" s="42" t="s">
        <v>9</v>
      </c>
      <c r="D95" s="43">
        <v>449</v>
      </c>
      <c r="E95" s="43">
        <v>12596000</v>
      </c>
      <c r="F95" s="43">
        <v>536</v>
      </c>
      <c r="G95" s="43">
        <v>149795300</v>
      </c>
      <c r="H95" s="43">
        <v>15</v>
      </c>
      <c r="I95" s="43">
        <v>5915600</v>
      </c>
      <c r="J95" s="43">
        <v>47</v>
      </c>
      <c r="K95" s="43">
        <v>525300</v>
      </c>
      <c r="L95" s="43">
        <v>41</v>
      </c>
      <c r="M95" s="43">
        <v>32893200</v>
      </c>
      <c r="N95" s="43">
        <v>41</v>
      </c>
      <c r="O95" s="43">
        <v>32893200</v>
      </c>
      <c r="P95" s="43"/>
      <c r="Q95" s="43"/>
      <c r="R95" s="43"/>
      <c r="S95" s="43"/>
      <c r="T95" s="44">
        <f t="shared" si="6"/>
        <v>1088</v>
      </c>
      <c r="U95" s="44">
        <f t="shared" si="6"/>
        <v>201725400</v>
      </c>
      <c r="V95" s="45">
        <f t="shared" si="7"/>
        <v>0.7718953587401487</v>
      </c>
      <c r="W95" s="44">
        <f t="shared" si="8"/>
        <v>551</v>
      </c>
      <c r="X95" s="44">
        <f t="shared" si="9"/>
        <v>155710900</v>
      </c>
      <c r="Y95" s="43">
        <f t="shared" si="10"/>
        <v>282596.91470054444</v>
      </c>
      <c r="Z95" s="45">
        <f t="shared" si="11"/>
        <v>0</v>
      </c>
    </row>
    <row r="96" spans="1:26">
      <c r="A96" s="42" t="s">
        <v>265</v>
      </c>
      <c r="B96" s="42" t="s">
        <v>266</v>
      </c>
      <c r="C96" s="42" t="s">
        <v>9</v>
      </c>
      <c r="D96" s="43">
        <v>61</v>
      </c>
      <c r="E96" s="43">
        <v>906100</v>
      </c>
      <c r="F96" s="43">
        <v>864</v>
      </c>
      <c r="G96" s="43">
        <v>75458000</v>
      </c>
      <c r="H96" s="43"/>
      <c r="I96" s="43"/>
      <c r="J96" s="43"/>
      <c r="K96" s="43"/>
      <c r="L96" s="43">
        <v>62</v>
      </c>
      <c r="M96" s="43">
        <v>7367500</v>
      </c>
      <c r="N96" s="43">
        <v>44</v>
      </c>
      <c r="O96" s="43">
        <v>4436900</v>
      </c>
      <c r="P96" s="43">
        <v>13</v>
      </c>
      <c r="Q96" s="43">
        <v>2130200</v>
      </c>
      <c r="R96" s="43">
        <v>5</v>
      </c>
      <c r="S96" s="43">
        <v>800400</v>
      </c>
      <c r="T96" s="44">
        <f t="shared" si="6"/>
        <v>987</v>
      </c>
      <c r="U96" s="44">
        <f t="shared" si="6"/>
        <v>83731600</v>
      </c>
      <c r="V96" s="45">
        <f t="shared" si="7"/>
        <v>0.90118903735268407</v>
      </c>
      <c r="W96" s="44">
        <f t="shared" si="8"/>
        <v>864</v>
      </c>
      <c r="X96" s="44">
        <f t="shared" si="9"/>
        <v>76258400</v>
      </c>
      <c r="Y96" s="43">
        <f t="shared" si="10"/>
        <v>87335.648148148146</v>
      </c>
      <c r="Z96" s="45">
        <f t="shared" si="11"/>
        <v>9.5591150772229364E-3</v>
      </c>
    </row>
    <row r="97" spans="1:26">
      <c r="A97" s="42" t="s">
        <v>267</v>
      </c>
      <c r="B97" s="42" t="s">
        <v>268</v>
      </c>
      <c r="C97" s="42" t="s">
        <v>9</v>
      </c>
      <c r="D97" s="43">
        <v>71</v>
      </c>
      <c r="E97" s="43">
        <v>7107200</v>
      </c>
      <c r="F97" s="43">
        <v>1193</v>
      </c>
      <c r="G97" s="43">
        <v>293454900</v>
      </c>
      <c r="H97" s="43"/>
      <c r="I97" s="43"/>
      <c r="J97" s="43"/>
      <c r="K97" s="43"/>
      <c r="L97" s="43">
        <v>141</v>
      </c>
      <c r="M97" s="43">
        <v>101528900</v>
      </c>
      <c r="N97" s="43">
        <v>114</v>
      </c>
      <c r="O97" s="43">
        <v>56856000</v>
      </c>
      <c r="P97" s="43">
        <v>7</v>
      </c>
      <c r="Q97" s="43">
        <v>16517600</v>
      </c>
      <c r="R97" s="43">
        <v>20</v>
      </c>
      <c r="S97" s="43">
        <v>28155300</v>
      </c>
      <c r="T97" s="44">
        <f t="shared" si="6"/>
        <v>1405</v>
      </c>
      <c r="U97" s="44">
        <f t="shared" si="6"/>
        <v>402091000</v>
      </c>
      <c r="V97" s="45">
        <f t="shared" si="7"/>
        <v>0.72982210494639277</v>
      </c>
      <c r="W97" s="44">
        <f t="shared" si="8"/>
        <v>1193</v>
      </c>
      <c r="X97" s="44">
        <f t="shared" si="9"/>
        <v>321610200</v>
      </c>
      <c r="Y97" s="43">
        <f t="shared" si="10"/>
        <v>245980.63704945517</v>
      </c>
      <c r="Z97" s="45">
        <f t="shared" si="11"/>
        <v>7.0022208902959779E-2</v>
      </c>
    </row>
    <row r="98" spans="1:26">
      <c r="A98" s="42" t="s">
        <v>269</v>
      </c>
      <c r="B98" s="42" t="s">
        <v>270</v>
      </c>
      <c r="C98" s="42" t="s">
        <v>9</v>
      </c>
      <c r="D98" s="43">
        <v>222</v>
      </c>
      <c r="E98" s="43">
        <v>34690400</v>
      </c>
      <c r="F98" s="43">
        <v>3477</v>
      </c>
      <c r="G98" s="43">
        <v>505312150</v>
      </c>
      <c r="H98" s="43">
        <v>8</v>
      </c>
      <c r="I98" s="43">
        <v>949300</v>
      </c>
      <c r="J98" s="43">
        <v>23</v>
      </c>
      <c r="K98" s="43">
        <v>522400</v>
      </c>
      <c r="L98" s="43">
        <v>213</v>
      </c>
      <c r="M98" s="43">
        <v>154836390</v>
      </c>
      <c r="N98" s="43">
        <v>187</v>
      </c>
      <c r="O98" s="43">
        <v>118741560</v>
      </c>
      <c r="P98" s="43">
        <v>19</v>
      </c>
      <c r="Q98" s="43">
        <v>20537830</v>
      </c>
      <c r="R98" s="43">
        <v>7</v>
      </c>
      <c r="S98" s="43">
        <v>15557000</v>
      </c>
      <c r="T98" s="44">
        <f t="shared" si="6"/>
        <v>3943</v>
      </c>
      <c r="U98" s="44">
        <f t="shared" si="6"/>
        <v>696310640</v>
      </c>
      <c r="V98" s="45">
        <f t="shared" si="7"/>
        <v>0.72706263687138262</v>
      </c>
      <c r="W98" s="44">
        <f t="shared" si="8"/>
        <v>3485</v>
      </c>
      <c r="X98" s="44">
        <f t="shared" si="9"/>
        <v>521818450</v>
      </c>
      <c r="Y98" s="43">
        <f t="shared" si="10"/>
        <v>145268.7087517934</v>
      </c>
      <c r="Z98" s="45">
        <f t="shared" si="11"/>
        <v>2.234203975398107E-2</v>
      </c>
    </row>
    <row r="99" spans="1:26">
      <c r="A99" s="42" t="s">
        <v>271</v>
      </c>
      <c r="B99" s="42" t="s">
        <v>272</v>
      </c>
      <c r="C99" s="42" t="s">
        <v>9</v>
      </c>
      <c r="D99" s="43">
        <v>246</v>
      </c>
      <c r="E99" s="43">
        <v>7898400</v>
      </c>
      <c r="F99" s="43">
        <v>3233</v>
      </c>
      <c r="G99" s="43">
        <v>307927000</v>
      </c>
      <c r="H99" s="43"/>
      <c r="I99" s="43"/>
      <c r="J99" s="43"/>
      <c r="K99" s="43"/>
      <c r="L99" s="43">
        <v>351</v>
      </c>
      <c r="M99" s="43">
        <v>118865900</v>
      </c>
      <c r="N99" s="43">
        <v>325</v>
      </c>
      <c r="O99" s="43">
        <v>79444600</v>
      </c>
      <c r="P99" s="43">
        <v>9</v>
      </c>
      <c r="Q99" s="43">
        <v>26080000</v>
      </c>
      <c r="R99" s="43">
        <v>17</v>
      </c>
      <c r="S99" s="43">
        <v>13341300</v>
      </c>
      <c r="T99" s="44">
        <f t="shared" si="6"/>
        <v>3830</v>
      </c>
      <c r="U99" s="44">
        <f t="shared" si="6"/>
        <v>434691300</v>
      </c>
      <c r="V99" s="45">
        <f t="shared" si="7"/>
        <v>0.70838086706589254</v>
      </c>
      <c r="W99" s="44">
        <f t="shared" si="8"/>
        <v>3233</v>
      </c>
      <c r="X99" s="44">
        <f t="shared" si="9"/>
        <v>321268300</v>
      </c>
      <c r="Y99" s="43">
        <f t="shared" si="10"/>
        <v>95244.973708629754</v>
      </c>
      <c r="Z99" s="45">
        <f t="shared" si="11"/>
        <v>3.0691435508371112E-2</v>
      </c>
    </row>
    <row r="100" spans="1:26">
      <c r="A100" s="42" t="s">
        <v>273</v>
      </c>
      <c r="B100" s="42" t="s">
        <v>274</v>
      </c>
      <c r="C100" s="42" t="s">
        <v>9</v>
      </c>
      <c r="D100" s="43">
        <v>411</v>
      </c>
      <c r="E100" s="43">
        <v>63418950</v>
      </c>
      <c r="F100" s="43">
        <v>6599</v>
      </c>
      <c r="G100" s="43">
        <v>1676485258</v>
      </c>
      <c r="H100" s="43">
        <v>8</v>
      </c>
      <c r="I100" s="43">
        <v>4835000</v>
      </c>
      <c r="J100" s="43">
        <v>62</v>
      </c>
      <c r="K100" s="43">
        <v>1762250</v>
      </c>
      <c r="L100" s="43">
        <v>234</v>
      </c>
      <c r="M100" s="43">
        <v>636836100</v>
      </c>
      <c r="N100" s="43">
        <v>184</v>
      </c>
      <c r="O100" s="43">
        <v>383155900</v>
      </c>
      <c r="P100" s="43">
        <v>43</v>
      </c>
      <c r="Q100" s="43">
        <v>198590200</v>
      </c>
      <c r="R100" s="43">
        <v>7</v>
      </c>
      <c r="S100" s="43">
        <v>55090000</v>
      </c>
      <c r="T100" s="44">
        <f t="shared" si="6"/>
        <v>7314</v>
      </c>
      <c r="U100" s="44">
        <f t="shared" si="6"/>
        <v>2383337558</v>
      </c>
      <c r="V100" s="45">
        <f t="shared" si="7"/>
        <v>0.70544780883279312</v>
      </c>
      <c r="W100" s="44">
        <f t="shared" si="8"/>
        <v>6607</v>
      </c>
      <c r="X100" s="44">
        <f t="shared" si="9"/>
        <v>1736410258</v>
      </c>
      <c r="Y100" s="43">
        <f t="shared" si="10"/>
        <v>254475.59527773573</v>
      </c>
      <c r="Z100" s="45">
        <f t="shared" si="11"/>
        <v>2.3114644341957709E-2</v>
      </c>
    </row>
    <row r="101" spans="1:26">
      <c r="A101" s="42" t="s">
        <v>275</v>
      </c>
      <c r="B101" s="42" t="s">
        <v>276</v>
      </c>
      <c r="C101" s="42" t="s">
        <v>9</v>
      </c>
      <c r="D101" s="43">
        <v>480</v>
      </c>
      <c r="E101" s="43">
        <v>61646900</v>
      </c>
      <c r="F101" s="43">
        <v>1250</v>
      </c>
      <c r="G101" s="43">
        <v>565065600</v>
      </c>
      <c r="H101" s="43">
        <v>112</v>
      </c>
      <c r="I101" s="43">
        <v>55031700</v>
      </c>
      <c r="J101" s="43">
        <v>232</v>
      </c>
      <c r="K101" s="43">
        <v>6407900</v>
      </c>
      <c r="L101" s="43">
        <v>47</v>
      </c>
      <c r="M101" s="43">
        <v>32545700</v>
      </c>
      <c r="N101" s="43">
        <v>46</v>
      </c>
      <c r="O101" s="43">
        <v>32209000</v>
      </c>
      <c r="P101" s="43"/>
      <c r="Q101" s="43"/>
      <c r="R101" s="43">
        <v>1</v>
      </c>
      <c r="S101" s="43">
        <v>336700</v>
      </c>
      <c r="T101" s="44">
        <f t="shared" si="6"/>
        <v>2121</v>
      </c>
      <c r="U101" s="44">
        <f t="shared" si="6"/>
        <v>720697800</v>
      </c>
      <c r="V101" s="45">
        <f t="shared" si="7"/>
        <v>0.86041236701430202</v>
      </c>
      <c r="W101" s="44">
        <f t="shared" si="8"/>
        <v>1362</v>
      </c>
      <c r="X101" s="44">
        <f t="shared" si="9"/>
        <v>620434000</v>
      </c>
      <c r="Y101" s="43">
        <f t="shared" si="10"/>
        <v>455284.36123348016</v>
      </c>
      <c r="Z101" s="45">
        <f t="shared" si="11"/>
        <v>4.6718610768618969E-4</v>
      </c>
    </row>
    <row r="102" spans="1:26">
      <c r="A102" s="42" t="s">
        <v>277</v>
      </c>
      <c r="B102" s="42" t="s">
        <v>278</v>
      </c>
      <c r="C102" s="42" t="s">
        <v>9</v>
      </c>
      <c r="D102" s="43">
        <v>301</v>
      </c>
      <c r="E102" s="43">
        <v>27748600</v>
      </c>
      <c r="F102" s="43">
        <v>5431</v>
      </c>
      <c r="G102" s="43">
        <v>1602469900</v>
      </c>
      <c r="H102" s="43">
        <v>6</v>
      </c>
      <c r="I102" s="43">
        <v>1740700</v>
      </c>
      <c r="J102" s="43">
        <v>7</v>
      </c>
      <c r="K102" s="43">
        <v>96600</v>
      </c>
      <c r="L102" s="43">
        <v>276</v>
      </c>
      <c r="M102" s="43">
        <v>327576100</v>
      </c>
      <c r="N102" s="43">
        <v>176</v>
      </c>
      <c r="O102" s="43">
        <v>197684400</v>
      </c>
      <c r="P102" s="43">
        <v>99</v>
      </c>
      <c r="Q102" s="43">
        <v>129724100</v>
      </c>
      <c r="R102" s="43">
        <v>1</v>
      </c>
      <c r="S102" s="43">
        <v>167600</v>
      </c>
      <c r="T102" s="44">
        <f t="shared" si="6"/>
        <v>6021</v>
      </c>
      <c r="U102" s="44">
        <f t="shared" si="6"/>
        <v>1959631900</v>
      </c>
      <c r="V102" s="45">
        <f t="shared" si="7"/>
        <v>0.81862853937007252</v>
      </c>
      <c r="W102" s="44">
        <f t="shared" si="8"/>
        <v>5437</v>
      </c>
      <c r="X102" s="44">
        <f t="shared" si="9"/>
        <v>1604378200</v>
      </c>
      <c r="Y102" s="43">
        <f t="shared" si="10"/>
        <v>295054.36821776716</v>
      </c>
      <c r="Z102" s="45">
        <f t="shared" si="11"/>
        <v>8.552626643809993E-5</v>
      </c>
    </row>
    <row r="103" spans="1:26">
      <c r="A103" s="42" t="s">
        <v>279</v>
      </c>
      <c r="B103" s="42" t="s">
        <v>280</v>
      </c>
      <c r="C103" s="42" t="s">
        <v>9</v>
      </c>
      <c r="D103" s="43">
        <v>330</v>
      </c>
      <c r="E103" s="43">
        <v>15622700</v>
      </c>
      <c r="F103" s="43">
        <v>1588</v>
      </c>
      <c r="G103" s="43">
        <v>382597200</v>
      </c>
      <c r="H103" s="43">
        <v>3</v>
      </c>
      <c r="I103" s="43">
        <v>1003900</v>
      </c>
      <c r="J103" s="43">
        <v>5</v>
      </c>
      <c r="K103" s="43">
        <v>28100</v>
      </c>
      <c r="L103" s="43">
        <v>60</v>
      </c>
      <c r="M103" s="43">
        <v>69845800</v>
      </c>
      <c r="N103" s="43">
        <v>43</v>
      </c>
      <c r="O103" s="43">
        <v>27602300</v>
      </c>
      <c r="P103" s="43">
        <v>13</v>
      </c>
      <c r="Q103" s="43">
        <v>40513500</v>
      </c>
      <c r="R103" s="43">
        <v>4</v>
      </c>
      <c r="S103" s="43">
        <v>1730000</v>
      </c>
      <c r="T103" s="44">
        <f t="shared" si="6"/>
        <v>1986</v>
      </c>
      <c r="U103" s="44">
        <f t="shared" si="6"/>
        <v>469097700</v>
      </c>
      <c r="V103" s="45">
        <f t="shared" si="7"/>
        <v>0.81774244469755453</v>
      </c>
      <c r="W103" s="44">
        <f t="shared" si="8"/>
        <v>1591</v>
      </c>
      <c r="X103" s="44">
        <f t="shared" si="9"/>
        <v>385331100</v>
      </c>
      <c r="Y103" s="43">
        <f t="shared" si="10"/>
        <v>241106.91389063481</v>
      </c>
      <c r="Z103" s="45">
        <f t="shared" si="11"/>
        <v>3.6879311068888209E-3</v>
      </c>
    </row>
    <row r="104" spans="1:26">
      <c r="A104" s="42" t="s">
        <v>281</v>
      </c>
      <c r="B104" s="42" t="s">
        <v>282</v>
      </c>
      <c r="C104" s="42" t="s">
        <v>9</v>
      </c>
      <c r="D104" s="43">
        <v>144</v>
      </c>
      <c r="E104" s="43">
        <v>10615400</v>
      </c>
      <c r="F104" s="43">
        <v>5156</v>
      </c>
      <c r="G104" s="43">
        <v>1207542700</v>
      </c>
      <c r="H104" s="43">
        <v>11</v>
      </c>
      <c r="I104" s="43">
        <v>2823700</v>
      </c>
      <c r="J104" s="43">
        <v>17</v>
      </c>
      <c r="K104" s="43">
        <v>179900</v>
      </c>
      <c r="L104" s="43">
        <v>175</v>
      </c>
      <c r="M104" s="43">
        <v>332587200</v>
      </c>
      <c r="N104" s="43">
        <v>142</v>
      </c>
      <c r="O104" s="43">
        <v>174869700</v>
      </c>
      <c r="P104" s="43">
        <v>31</v>
      </c>
      <c r="Q104" s="43">
        <v>97679200</v>
      </c>
      <c r="R104" s="43">
        <v>2</v>
      </c>
      <c r="S104" s="43">
        <v>60038300</v>
      </c>
      <c r="T104" s="44">
        <f t="shared" si="6"/>
        <v>5503</v>
      </c>
      <c r="U104" s="44">
        <f t="shared" si="6"/>
        <v>1553748900</v>
      </c>
      <c r="V104" s="45">
        <f t="shared" si="7"/>
        <v>0.7789974300223157</v>
      </c>
      <c r="W104" s="44">
        <f t="shared" si="8"/>
        <v>5167</v>
      </c>
      <c r="X104" s="44">
        <f t="shared" si="9"/>
        <v>1270404700</v>
      </c>
      <c r="Y104" s="43">
        <f t="shared" si="10"/>
        <v>234249.35165473196</v>
      </c>
      <c r="Z104" s="45">
        <f t="shared" si="11"/>
        <v>3.8640928402266288E-2</v>
      </c>
    </row>
    <row r="105" spans="1:26">
      <c r="A105" s="42" t="s">
        <v>283</v>
      </c>
      <c r="B105" s="42" t="s">
        <v>284</v>
      </c>
      <c r="C105" s="42" t="s">
        <v>9</v>
      </c>
      <c r="D105" s="43">
        <v>163</v>
      </c>
      <c r="E105" s="43">
        <v>8672100</v>
      </c>
      <c r="F105" s="43">
        <v>1594</v>
      </c>
      <c r="G105" s="43">
        <v>437682600</v>
      </c>
      <c r="H105" s="43">
        <v>17</v>
      </c>
      <c r="I105" s="43">
        <v>4642000</v>
      </c>
      <c r="J105" s="43">
        <v>39</v>
      </c>
      <c r="K105" s="43">
        <v>461600</v>
      </c>
      <c r="L105" s="43">
        <v>45</v>
      </c>
      <c r="M105" s="43">
        <v>70496000</v>
      </c>
      <c r="N105" s="43">
        <v>37</v>
      </c>
      <c r="O105" s="43">
        <v>30941000</v>
      </c>
      <c r="P105" s="43">
        <v>4</v>
      </c>
      <c r="Q105" s="43">
        <v>2655000</v>
      </c>
      <c r="R105" s="43">
        <v>4</v>
      </c>
      <c r="S105" s="43">
        <v>36900000</v>
      </c>
      <c r="T105" s="44">
        <f t="shared" si="6"/>
        <v>1858</v>
      </c>
      <c r="U105" s="44">
        <f t="shared" si="6"/>
        <v>521954300</v>
      </c>
      <c r="V105" s="45">
        <f t="shared" si="7"/>
        <v>0.84743932562678381</v>
      </c>
      <c r="W105" s="44">
        <f t="shared" si="8"/>
        <v>1611</v>
      </c>
      <c r="X105" s="44">
        <f t="shared" si="9"/>
        <v>479224600</v>
      </c>
      <c r="Y105" s="43">
        <f t="shared" si="10"/>
        <v>274565.23898199876</v>
      </c>
      <c r="Z105" s="45">
        <f t="shared" si="11"/>
        <v>7.0695844444619002E-2</v>
      </c>
    </row>
    <row r="106" spans="1:26">
      <c r="A106" s="42" t="s">
        <v>285</v>
      </c>
      <c r="B106" s="42" t="s">
        <v>286</v>
      </c>
      <c r="C106" s="42" t="s">
        <v>9</v>
      </c>
      <c r="D106" s="43">
        <v>70</v>
      </c>
      <c r="E106" s="43">
        <v>3678100</v>
      </c>
      <c r="F106" s="43">
        <v>2389</v>
      </c>
      <c r="G106" s="43">
        <v>237762400</v>
      </c>
      <c r="H106" s="43">
        <v>4</v>
      </c>
      <c r="I106" s="43">
        <v>602200</v>
      </c>
      <c r="J106" s="43">
        <v>10</v>
      </c>
      <c r="K106" s="43">
        <v>134700</v>
      </c>
      <c r="L106" s="43">
        <v>77</v>
      </c>
      <c r="M106" s="43">
        <v>68576800</v>
      </c>
      <c r="N106" s="43">
        <v>59</v>
      </c>
      <c r="O106" s="43">
        <v>34417300</v>
      </c>
      <c r="P106" s="43">
        <v>9</v>
      </c>
      <c r="Q106" s="43">
        <v>4442100</v>
      </c>
      <c r="R106" s="43">
        <v>9</v>
      </c>
      <c r="S106" s="43">
        <v>29717400</v>
      </c>
      <c r="T106" s="44">
        <f t="shared" si="6"/>
        <v>2550</v>
      </c>
      <c r="U106" s="44">
        <f t="shared" si="6"/>
        <v>310754200</v>
      </c>
      <c r="V106" s="45">
        <f t="shared" si="7"/>
        <v>0.76705190147068003</v>
      </c>
      <c r="W106" s="44">
        <f t="shared" si="8"/>
        <v>2393</v>
      </c>
      <c r="X106" s="44">
        <f t="shared" si="9"/>
        <v>268082000</v>
      </c>
      <c r="Y106" s="43">
        <f t="shared" si="10"/>
        <v>99609.109903886332</v>
      </c>
      <c r="Z106" s="45">
        <f t="shared" si="11"/>
        <v>9.5629922298717127E-2</v>
      </c>
    </row>
    <row r="107" spans="1:26">
      <c r="A107" s="42" t="s">
        <v>287</v>
      </c>
      <c r="B107" s="42" t="s">
        <v>288</v>
      </c>
      <c r="C107" s="42" t="s">
        <v>9</v>
      </c>
      <c r="D107" s="43">
        <v>695</v>
      </c>
      <c r="E107" s="43">
        <v>17059400</v>
      </c>
      <c r="F107" s="43">
        <v>15124</v>
      </c>
      <c r="G107" s="43">
        <v>2239682300</v>
      </c>
      <c r="H107" s="43">
        <v>47</v>
      </c>
      <c r="I107" s="43">
        <v>7280600</v>
      </c>
      <c r="J107" s="43">
        <v>95</v>
      </c>
      <c r="K107" s="43">
        <v>666600</v>
      </c>
      <c r="L107" s="43">
        <v>532</v>
      </c>
      <c r="M107" s="43">
        <v>560489500</v>
      </c>
      <c r="N107" s="43">
        <v>499</v>
      </c>
      <c r="O107" s="43">
        <v>448607200</v>
      </c>
      <c r="P107" s="43">
        <v>16</v>
      </c>
      <c r="Q107" s="43">
        <v>18546600</v>
      </c>
      <c r="R107" s="43">
        <v>17</v>
      </c>
      <c r="S107" s="43">
        <v>93335700</v>
      </c>
      <c r="T107" s="44">
        <f t="shared" si="6"/>
        <v>16493</v>
      </c>
      <c r="U107" s="44">
        <f t="shared" si="6"/>
        <v>2825178400</v>
      </c>
      <c r="V107" s="45">
        <f t="shared" si="7"/>
        <v>0.79533487159607341</v>
      </c>
      <c r="W107" s="44">
        <f t="shared" si="8"/>
        <v>15171</v>
      </c>
      <c r="X107" s="44">
        <f t="shared" si="9"/>
        <v>2340298600</v>
      </c>
      <c r="Y107" s="43">
        <f t="shared" si="10"/>
        <v>148109.08311910884</v>
      </c>
      <c r="Z107" s="45">
        <f t="shared" si="11"/>
        <v>3.3037099533254254E-2</v>
      </c>
    </row>
    <row r="108" spans="1:26">
      <c r="A108" s="42" t="s">
        <v>289</v>
      </c>
      <c r="B108" s="42" t="s">
        <v>290</v>
      </c>
      <c r="C108" s="42" t="s">
        <v>9</v>
      </c>
      <c r="D108" s="43">
        <v>34</v>
      </c>
      <c r="E108" s="43">
        <v>815900</v>
      </c>
      <c r="F108" s="43">
        <v>200</v>
      </c>
      <c r="G108" s="43">
        <v>18944300</v>
      </c>
      <c r="H108" s="43"/>
      <c r="I108" s="43"/>
      <c r="J108" s="43"/>
      <c r="K108" s="43"/>
      <c r="L108" s="43">
        <v>8</v>
      </c>
      <c r="M108" s="43">
        <v>9153300</v>
      </c>
      <c r="N108" s="43">
        <v>7</v>
      </c>
      <c r="O108" s="43">
        <v>1287400</v>
      </c>
      <c r="P108" s="43">
        <v>1</v>
      </c>
      <c r="Q108" s="43">
        <v>7865900</v>
      </c>
      <c r="R108" s="43"/>
      <c r="S108" s="43"/>
      <c r="T108" s="44">
        <f t="shared" si="6"/>
        <v>242</v>
      </c>
      <c r="U108" s="44">
        <f t="shared" si="6"/>
        <v>28913500</v>
      </c>
      <c r="V108" s="45">
        <f t="shared" si="7"/>
        <v>0.65520604561882856</v>
      </c>
      <c r="W108" s="44">
        <f t="shared" si="8"/>
        <v>200</v>
      </c>
      <c r="X108" s="44">
        <f t="shared" si="9"/>
        <v>18944300</v>
      </c>
      <c r="Y108" s="43">
        <f t="shared" si="10"/>
        <v>94721.5</v>
      </c>
      <c r="Z108" s="45">
        <f t="shared" si="11"/>
        <v>0</v>
      </c>
    </row>
    <row r="109" spans="1:26">
      <c r="A109" s="42" t="s">
        <v>291</v>
      </c>
      <c r="B109" s="42" t="s">
        <v>292</v>
      </c>
      <c r="C109" s="42" t="s">
        <v>9</v>
      </c>
      <c r="D109" s="43">
        <v>402</v>
      </c>
      <c r="E109" s="43">
        <v>24163300</v>
      </c>
      <c r="F109" s="43">
        <v>4288</v>
      </c>
      <c r="G109" s="43">
        <v>503065550</v>
      </c>
      <c r="H109" s="43">
        <v>34</v>
      </c>
      <c r="I109" s="43">
        <v>5396400</v>
      </c>
      <c r="J109" s="43">
        <v>68</v>
      </c>
      <c r="K109" s="43">
        <v>851000</v>
      </c>
      <c r="L109" s="43">
        <v>156</v>
      </c>
      <c r="M109" s="43">
        <v>65992600</v>
      </c>
      <c r="N109" s="43">
        <v>129</v>
      </c>
      <c r="O109" s="43">
        <v>24596300</v>
      </c>
      <c r="P109" s="43">
        <v>21</v>
      </c>
      <c r="Q109" s="43">
        <v>35561500</v>
      </c>
      <c r="R109" s="43">
        <v>6</v>
      </c>
      <c r="S109" s="43">
        <v>5834800</v>
      </c>
      <c r="T109" s="44">
        <f t="shared" si="6"/>
        <v>4948</v>
      </c>
      <c r="U109" s="44">
        <f t="shared" si="6"/>
        <v>599468850</v>
      </c>
      <c r="V109" s="45">
        <f t="shared" si="7"/>
        <v>0.84818744126571377</v>
      </c>
      <c r="W109" s="44">
        <f t="shared" si="8"/>
        <v>4322</v>
      </c>
      <c r="X109" s="44">
        <f t="shared" si="9"/>
        <v>514296750</v>
      </c>
      <c r="Y109" s="43">
        <f t="shared" si="10"/>
        <v>117645.06015733456</v>
      </c>
      <c r="Z109" s="45">
        <f t="shared" si="11"/>
        <v>9.7332830554915407E-3</v>
      </c>
    </row>
    <row r="110" spans="1:26">
      <c r="A110" s="42" t="s">
        <v>293</v>
      </c>
      <c r="B110" s="42" t="s">
        <v>294</v>
      </c>
      <c r="C110" s="42" t="s">
        <v>9</v>
      </c>
      <c r="D110" s="43">
        <v>227</v>
      </c>
      <c r="E110" s="43">
        <v>9168000</v>
      </c>
      <c r="F110" s="43">
        <v>2178</v>
      </c>
      <c r="G110" s="43">
        <v>351430400</v>
      </c>
      <c r="H110" s="43">
        <v>24</v>
      </c>
      <c r="I110" s="43">
        <v>5768600</v>
      </c>
      <c r="J110" s="43">
        <v>40</v>
      </c>
      <c r="K110" s="43">
        <v>221300</v>
      </c>
      <c r="L110" s="43">
        <v>120</v>
      </c>
      <c r="M110" s="43">
        <v>70055933</v>
      </c>
      <c r="N110" s="43">
        <v>88</v>
      </c>
      <c r="O110" s="43">
        <v>39889933</v>
      </c>
      <c r="P110" s="43">
        <v>30</v>
      </c>
      <c r="Q110" s="43">
        <v>29918500</v>
      </c>
      <c r="R110" s="43">
        <v>2</v>
      </c>
      <c r="S110" s="43">
        <v>247500</v>
      </c>
      <c r="T110" s="44">
        <f t="shared" si="6"/>
        <v>2589</v>
      </c>
      <c r="U110" s="44">
        <f t="shared" si="6"/>
        <v>436644233</v>
      </c>
      <c r="V110" s="45">
        <f t="shared" si="7"/>
        <v>0.81805500451897639</v>
      </c>
      <c r="W110" s="44">
        <f t="shared" si="8"/>
        <v>2202</v>
      </c>
      <c r="X110" s="44">
        <f t="shared" si="9"/>
        <v>357446500</v>
      </c>
      <c r="Y110" s="43">
        <f t="shared" si="10"/>
        <v>162215.71298819256</v>
      </c>
      <c r="Z110" s="45">
        <f t="shared" si="11"/>
        <v>5.6682301355391997E-4</v>
      </c>
    </row>
    <row r="111" spans="1:26">
      <c r="A111" s="42" t="s">
        <v>295</v>
      </c>
      <c r="B111" s="42" t="s">
        <v>296</v>
      </c>
      <c r="C111" s="42" t="s">
        <v>9</v>
      </c>
      <c r="D111" s="43">
        <v>104</v>
      </c>
      <c r="E111" s="43">
        <v>11963500</v>
      </c>
      <c r="F111" s="43">
        <v>3747</v>
      </c>
      <c r="G111" s="43">
        <v>1191093800</v>
      </c>
      <c r="H111" s="43">
        <v>48</v>
      </c>
      <c r="I111" s="43">
        <v>20850000</v>
      </c>
      <c r="J111" s="43">
        <v>113</v>
      </c>
      <c r="K111" s="43">
        <v>1997980</v>
      </c>
      <c r="L111" s="43">
        <v>164</v>
      </c>
      <c r="M111" s="43">
        <v>207250500</v>
      </c>
      <c r="N111" s="43">
        <v>146</v>
      </c>
      <c r="O111" s="43">
        <v>122340000</v>
      </c>
      <c r="P111" s="43">
        <v>10</v>
      </c>
      <c r="Q111" s="43">
        <v>55956100</v>
      </c>
      <c r="R111" s="43">
        <v>8</v>
      </c>
      <c r="S111" s="43">
        <v>28954400</v>
      </c>
      <c r="T111" s="44">
        <f t="shared" si="6"/>
        <v>4176</v>
      </c>
      <c r="U111" s="44">
        <f t="shared" si="6"/>
        <v>1433155780</v>
      </c>
      <c r="V111" s="45">
        <f t="shared" si="7"/>
        <v>0.84564694006955754</v>
      </c>
      <c r="W111" s="44">
        <f t="shared" si="8"/>
        <v>3795</v>
      </c>
      <c r="X111" s="44">
        <f t="shared" si="9"/>
        <v>1240898200</v>
      </c>
      <c r="Y111" s="43">
        <f t="shared" si="10"/>
        <v>319352.77997364954</v>
      </c>
      <c r="Z111" s="45">
        <f t="shared" si="11"/>
        <v>2.0203246851504167E-2</v>
      </c>
    </row>
    <row r="112" spans="1:26">
      <c r="A112" s="42" t="s">
        <v>297</v>
      </c>
      <c r="B112" s="42" t="s">
        <v>298</v>
      </c>
      <c r="C112" s="42" t="s">
        <v>9</v>
      </c>
      <c r="D112" s="43">
        <v>297</v>
      </c>
      <c r="E112" s="43">
        <v>40718500</v>
      </c>
      <c r="F112" s="43">
        <v>3316</v>
      </c>
      <c r="G112" s="43">
        <v>1105446900</v>
      </c>
      <c r="H112" s="43">
        <v>122</v>
      </c>
      <c r="I112" s="43">
        <v>48025500</v>
      </c>
      <c r="J112" s="43">
        <v>216</v>
      </c>
      <c r="K112" s="43">
        <v>4040600</v>
      </c>
      <c r="L112" s="43">
        <v>98</v>
      </c>
      <c r="M112" s="43">
        <v>96912600</v>
      </c>
      <c r="N112" s="43">
        <v>91</v>
      </c>
      <c r="O112" s="43">
        <v>89713300</v>
      </c>
      <c r="P112" s="43">
        <v>2</v>
      </c>
      <c r="Q112" s="43">
        <v>5301200</v>
      </c>
      <c r="R112" s="43">
        <v>5</v>
      </c>
      <c r="S112" s="43">
        <v>1898100</v>
      </c>
      <c r="T112" s="44">
        <f t="shared" si="6"/>
        <v>4049</v>
      </c>
      <c r="U112" s="44">
        <f t="shared" si="6"/>
        <v>1295144100</v>
      </c>
      <c r="V112" s="45">
        <f t="shared" si="7"/>
        <v>0.89061317578484123</v>
      </c>
      <c r="W112" s="44">
        <f t="shared" si="8"/>
        <v>3438</v>
      </c>
      <c r="X112" s="44">
        <f t="shared" si="9"/>
        <v>1155370500</v>
      </c>
      <c r="Y112" s="43">
        <f t="shared" si="10"/>
        <v>335506.80628272251</v>
      </c>
      <c r="Z112" s="45">
        <f t="shared" si="11"/>
        <v>1.4655512077768025E-3</v>
      </c>
    </row>
    <row r="113" spans="1:26">
      <c r="A113" s="42" t="s">
        <v>299</v>
      </c>
      <c r="B113" s="42" t="s">
        <v>300</v>
      </c>
      <c r="C113" s="42" t="s">
        <v>9</v>
      </c>
      <c r="D113" s="43">
        <v>105</v>
      </c>
      <c r="E113" s="43">
        <v>13583300</v>
      </c>
      <c r="F113" s="43">
        <v>4675</v>
      </c>
      <c r="G113" s="43">
        <v>953529500</v>
      </c>
      <c r="H113" s="43"/>
      <c r="I113" s="43"/>
      <c r="J113" s="43"/>
      <c r="K113" s="43"/>
      <c r="L113" s="43">
        <v>314</v>
      </c>
      <c r="M113" s="43">
        <v>624926900</v>
      </c>
      <c r="N113" s="43">
        <v>269</v>
      </c>
      <c r="O113" s="43">
        <v>338496900</v>
      </c>
      <c r="P113" s="43">
        <v>28</v>
      </c>
      <c r="Q113" s="43">
        <v>23405000</v>
      </c>
      <c r="R113" s="43">
        <v>17</v>
      </c>
      <c r="S113" s="43">
        <v>263025000</v>
      </c>
      <c r="T113" s="44">
        <f t="shared" si="6"/>
        <v>5094</v>
      </c>
      <c r="U113" s="44">
        <f t="shared" si="6"/>
        <v>1592039700</v>
      </c>
      <c r="V113" s="45">
        <f t="shared" si="7"/>
        <v>0.59893575518248698</v>
      </c>
      <c r="W113" s="44">
        <f t="shared" si="8"/>
        <v>4675</v>
      </c>
      <c r="X113" s="44">
        <f t="shared" si="9"/>
        <v>1216554500</v>
      </c>
      <c r="Y113" s="43">
        <f t="shared" si="10"/>
        <v>203963.5294117647</v>
      </c>
      <c r="Z113" s="45">
        <f t="shared" si="11"/>
        <v>0.16521258860567359</v>
      </c>
    </row>
    <row r="114" spans="1:26">
      <c r="A114" s="42" t="s">
        <v>301</v>
      </c>
      <c r="B114" s="42" t="s">
        <v>302</v>
      </c>
      <c r="C114" s="42" t="s">
        <v>9</v>
      </c>
      <c r="D114" s="43">
        <v>668</v>
      </c>
      <c r="E114" s="43">
        <v>19490900</v>
      </c>
      <c r="F114" s="43">
        <v>7653</v>
      </c>
      <c r="G114" s="43">
        <v>1543120700</v>
      </c>
      <c r="H114" s="43">
        <v>98</v>
      </c>
      <c r="I114" s="43">
        <v>20985600</v>
      </c>
      <c r="J114" s="43">
        <v>170</v>
      </c>
      <c r="K114" s="43">
        <v>2371600</v>
      </c>
      <c r="L114" s="43">
        <v>350</v>
      </c>
      <c r="M114" s="43">
        <v>188061100</v>
      </c>
      <c r="N114" s="43">
        <v>331</v>
      </c>
      <c r="O114" s="43">
        <v>148612500</v>
      </c>
      <c r="P114" s="43">
        <v>12</v>
      </c>
      <c r="Q114" s="43">
        <v>9632700</v>
      </c>
      <c r="R114" s="43">
        <v>7</v>
      </c>
      <c r="S114" s="43">
        <v>29815900</v>
      </c>
      <c r="T114" s="44">
        <f t="shared" si="6"/>
        <v>8939</v>
      </c>
      <c r="U114" s="44">
        <f t="shared" si="6"/>
        <v>1774029900</v>
      </c>
      <c r="V114" s="45">
        <f t="shared" si="7"/>
        <v>0.88166851077312736</v>
      </c>
      <c r="W114" s="44">
        <f t="shared" si="8"/>
        <v>7751</v>
      </c>
      <c r="X114" s="44">
        <f t="shared" si="9"/>
        <v>1593922200</v>
      </c>
      <c r="Y114" s="43">
        <f t="shared" si="10"/>
        <v>201794.12978970454</v>
      </c>
      <c r="Z114" s="45">
        <f t="shared" si="11"/>
        <v>1.6806875690201162E-2</v>
      </c>
    </row>
    <row r="115" spans="1:26">
      <c r="A115" s="42" t="s">
        <v>303</v>
      </c>
      <c r="B115" s="42" t="s">
        <v>304</v>
      </c>
      <c r="C115" s="42" t="s">
        <v>9</v>
      </c>
      <c r="D115" s="43">
        <v>32</v>
      </c>
      <c r="E115" s="43">
        <v>521000</v>
      </c>
      <c r="F115" s="43">
        <v>1538</v>
      </c>
      <c r="G115" s="43">
        <v>227566900</v>
      </c>
      <c r="H115" s="43"/>
      <c r="I115" s="43"/>
      <c r="J115" s="43"/>
      <c r="K115" s="43"/>
      <c r="L115" s="43">
        <v>16</v>
      </c>
      <c r="M115" s="43">
        <v>4390300</v>
      </c>
      <c r="N115" s="43">
        <v>16</v>
      </c>
      <c r="O115" s="43">
        <v>4390300</v>
      </c>
      <c r="P115" s="43"/>
      <c r="Q115" s="43"/>
      <c r="R115" s="43"/>
      <c r="S115" s="43"/>
      <c r="T115" s="44">
        <f t="shared" si="6"/>
        <v>1586</v>
      </c>
      <c r="U115" s="44">
        <f t="shared" si="6"/>
        <v>232478200</v>
      </c>
      <c r="V115" s="45">
        <f t="shared" si="7"/>
        <v>0.9788741481997022</v>
      </c>
      <c r="W115" s="44">
        <f t="shared" si="8"/>
        <v>1538</v>
      </c>
      <c r="X115" s="44">
        <f t="shared" si="9"/>
        <v>227566900</v>
      </c>
      <c r="Y115" s="43">
        <f t="shared" si="10"/>
        <v>147962.87386215865</v>
      </c>
      <c r="Z115" s="45">
        <f t="shared" si="11"/>
        <v>0</v>
      </c>
    </row>
    <row r="116" spans="1:26">
      <c r="A116" s="42" t="s">
        <v>305</v>
      </c>
      <c r="B116" s="42" t="s">
        <v>306</v>
      </c>
      <c r="C116" s="42" t="s">
        <v>9</v>
      </c>
      <c r="D116" s="43">
        <v>348</v>
      </c>
      <c r="E116" s="43">
        <v>72511500</v>
      </c>
      <c r="F116" s="43">
        <v>6500</v>
      </c>
      <c r="G116" s="43">
        <v>3499299600</v>
      </c>
      <c r="H116" s="43">
        <v>36</v>
      </c>
      <c r="I116" s="43">
        <v>37745600</v>
      </c>
      <c r="J116" s="43">
        <v>96</v>
      </c>
      <c r="K116" s="43">
        <v>745700</v>
      </c>
      <c r="L116" s="43">
        <v>387</v>
      </c>
      <c r="M116" s="43">
        <v>1119848200</v>
      </c>
      <c r="N116" s="43">
        <v>275</v>
      </c>
      <c r="O116" s="43">
        <v>642931600</v>
      </c>
      <c r="P116" s="43">
        <v>88</v>
      </c>
      <c r="Q116" s="43">
        <v>380922900</v>
      </c>
      <c r="R116" s="43">
        <v>24</v>
      </c>
      <c r="S116" s="43">
        <v>95993700</v>
      </c>
      <c r="T116" s="44">
        <f t="shared" si="6"/>
        <v>7367</v>
      </c>
      <c r="U116" s="44">
        <f t="shared" si="6"/>
        <v>4730150600</v>
      </c>
      <c r="V116" s="45">
        <f t="shared" si="7"/>
        <v>0.74776587451570786</v>
      </c>
      <c r="W116" s="44">
        <f t="shared" si="8"/>
        <v>6536</v>
      </c>
      <c r="X116" s="44">
        <f t="shared" si="9"/>
        <v>3633038900</v>
      </c>
      <c r="Y116" s="43">
        <f t="shared" si="10"/>
        <v>541163.58629130968</v>
      </c>
      <c r="Z116" s="45">
        <f t="shared" si="11"/>
        <v>2.0294005015400567E-2</v>
      </c>
    </row>
    <row r="117" spans="1:26">
      <c r="A117" s="42" t="s">
        <v>307</v>
      </c>
      <c r="B117" s="42" t="s">
        <v>308</v>
      </c>
      <c r="C117" s="42" t="s">
        <v>9</v>
      </c>
      <c r="D117" s="43">
        <v>208</v>
      </c>
      <c r="E117" s="43">
        <v>6044900</v>
      </c>
      <c r="F117" s="43">
        <v>3020</v>
      </c>
      <c r="G117" s="43">
        <v>247721300</v>
      </c>
      <c r="H117" s="43">
        <v>1</v>
      </c>
      <c r="I117" s="43">
        <v>142700</v>
      </c>
      <c r="J117" s="43">
        <v>3</v>
      </c>
      <c r="K117" s="43">
        <v>14200</v>
      </c>
      <c r="L117" s="43">
        <v>259</v>
      </c>
      <c r="M117" s="43">
        <v>61442700</v>
      </c>
      <c r="N117" s="43">
        <v>209</v>
      </c>
      <c r="O117" s="43">
        <v>45706700</v>
      </c>
      <c r="P117" s="43">
        <v>11</v>
      </c>
      <c r="Q117" s="43">
        <v>4485300</v>
      </c>
      <c r="R117" s="43">
        <v>39</v>
      </c>
      <c r="S117" s="43">
        <v>11250700</v>
      </c>
      <c r="T117" s="44">
        <f t="shared" si="6"/>
        <v>3491</v>
      </c>
      <c r="U117" s="44">
        <f t="shared" si="6"/>
        <v>315365800</v>
      </c>
      <c r="V117" s="45">
        <f t="shared" si="7"/>
        <v>0.78595713295480996</v>
      </c>
      <c r="W117" s="44">
        <f t="shared" si="8"/>
        <v>3021</v>
      </c>
      <c r="X117" s="44">
        <f t="shared" si="9"/>
        <v>259114700</v>
      </c>
      <c r="Y117" s="43">
        <f t="shared" si="10"/>
        <v>82047.004303210852</v>
      </c>
      <c r="Z117" s="45">
        <f t="shared" si="11"/>
        <v>3.5675079542550267E-2</v>
      </c>
    </row>
    <row r="118" spans="1:26">
      <c r="A118" s="42" t="s">
        <v>309</v>
      </c>
      <c r="B118" s="42" t="s">
        <v>310</v>
      </c>
      <c r="C118" s="42" t="s">
        <v>9</v>
      </c>
      <c r="D118" s="43">
        <v>839</v>
      </c>
      <c r="E118" s="43">
        <v>51578600</v>
      </c>
      <c r="F118" s="43">
        <v>16276</v>
      </c>
      <c r="G118" s="43">
        <v>2295148200</v>
      </c>
      <c r="H118" s="43">
        <v>21</v>
      </c>
      <c r="I118" s="43">
        <v>5020700</v>
      </c>
      <c r="J118" s="43">
        <v>53</v>
      </c>
      <c r="K118" s="43">
        <v>485900</v>
      </c>
      <c r="L118" s="43">
        <v>472</v>
      </c>
      <c r="M118" s="43">
        <v>1057855600</v>
      </c>
      <c r="N118" s="43">
        <v>418</v>
      </c>
      <c r="O118" s="43">
        <v>908640700</v>
      </c>
      <c r="P118" s="43">
        <v>47</v>
      </c>
      <c r="Q118" s="43">
        <v>97272900</v>
      </c>
      <c r="R118" s="43">
        <v>7</v>
      </c>
      <c r="S118" s="43">
        <v>51942000</v>
      </c>
      <c r="T118" s="44">
        <f t="shared" si="6"/>
        <v>17661</v>
      </c>
      <c r="U118" s="44">
        <f t="shared" si="6"/>
        <v>3410089000</v>
      </c>
      <c r="V118" s="45">
        <f t="shared" si="7"/>
        <v>0.67451872956981473</v>
      </c>
      <c r="W118" s="44">
        <f t="shared" si="8"/>
        <v>16297</v>
      </c>
      <c r="X118" s="44">
        <f t="shared" si="9"/>
        <v>2352110900</v>
      </c>
      <c r="Y118" s="43">
        <f t="shared" si="10"/>
        <v>141140.63324538257</v>
      </c>
      <c r="Z118" s="45">
        <f t="shared" si="11"/>
        <v>1.5231860517423446E-2</v>
      </c>
    </row>
    <row r="119" spans="1:26">
      <c r="A119" s="42" t="s">
        <v>311</v>
      </c>
      <c r="B119" s="42" t="s">
        <v>312</v>
      </c>
      <c r="C119" s="42" t="s">
        <v>9</v>
      </c>
      <c r="D119" s="43">
        <v>58</v>
      </c>
      <c r="E119" s="43">
        <v>1947700</v>
      </c>
      <c r="F119" s="43">
        <v>238</v>
      </c>
      <c r="G119" s="43">
        <v>40595500</v>
      </c>
      <c r="H119" s="43">
        <v>17</v>
      </c>
      <c r="I119" s="43">
        <v>3340500</v>
      </c>
      <c r="J119" s="43">
        <v>35</v>
      </c>
      <c r="K119" s="43">
        <v>620300</v>
      </c>
      <c r="L119" s="43">
        <v>25</v>
      </c>
      <c r="M119" s="43">
        <v>12229500</v>
      </c>
      <c r="N119" s="43">
        <v>24</v>
      </c>
      <c r="O119" s="43">
        <v>12141500</v>
      </c>
      <c r="P119" s="43">
        <v>1</v>
      </c>
      <c r="Q119" s="43">
        <v>88000</v>
      </c>
      <c r="R119" s="43"/>
      <c r="S119" s="43"/>
      <c r="T119" s="44">
        <f t="shared" si="6"/>
        <v>373</v>
      </c>
      <c r="U119" s="44">
        <f t="shared" si="6"/>
        <v>58733500</v>
      </c>
      <c r="V119" s="45">
        <f t="shared" si="7"/>
        <v>0.74805690108711387</v>
      </c>
      <c r="W119" s="44">
        <f t="shared" si="8"/>
        <v>255</v>
      </c>
      <c r="X119" s="44">
        <f t="shared" si="9"/>
        <v>43936000</v>
      </c>
      <c r="Y119" s="43">
        <f t="shared" si="10"/>
        <v>172298.03921568627</v>
      </c>
      <c r="Z119" s="45">
        <f t="shared" si="11"/>
        <v>0</v>
      </c>
    </row>
    <row r="120" spans="1:26">
      <c r="A120" s="42" t="s">
        <v>313</v>
      </c>
      <c r="B120" s="42" t="s">
        <v>314</v>
      </c>
      <c r="C120" s="42" t="s">
        <v>9</v>
      </c>
      <c r="D120" s="43">
        <v>114</v>
      </c>
      <c r="E120" s="43">
        <v>4701550</v>
      </c>
      <c r="F120" s="43">
        <v>959</v>
      </c>
      <c r="G120" s="43">
        <v>169389600</v>
      </c>
      <c r="H120" s="43">
        <v>99</v>
      </c>
      <c r="I120" s="43">
        <v>21988750</v>
      </c>
      <c r="J120" s="43">
        <v>165</v>
      </c>
      <c r="K120" s="43">
        <v>2691627</v>
      </c>
      <c r="L120" s="43">
        <v>77</v>
      </c>
      <c r="M120" s="43">
        <v>36429950</v>
      </c>
      <c r="N120" s="43">
        <v>68</v>
      </c>
      <c r="O120" s="43">
        <v>29309650</v>
      </c>
      <c r="P120" s="43"/>
      <c r="Q120" s="43"/>
      <c r="R120" s="43">
        <v>9</v>
      </c>
      <c r="S120" s="43">
        <v>7120300</v>
      </c>
      <c r="T120" s="44">
        <f t="shared" si="6"/>
        <v>1414</v>
      </c>
      <c r="U120" s="44">
        <f t="shared" si="6"/>
        <v>235201477</v>
      </c>
      <c r="V120" s="45">
        <f t="shared" si="7"/>
        <v>0.81367835117804133</v>
      </c>
      <c r="W120" s="44">
        <f t="shared" si="8"/>
        <v>1058</v>
      </c>
      <c r="X120" s="44">
        <f t="shared" si="9"/>
        <v>198498650</v>
      </c>
      <c r="Y120" s="43">
        <f t="shared" si="10"/>
        <v>180886.90926275993</v>
      </c>
      <c r="Z120" s="45">
        <f t="shared" si="11"/>
        <v>3.0273194245289538E-2</v>
      </c>
    </row>
    <row r="121" spans="1:26">
      <c r="A121" s="42" t="s">
        <v>315</v>
      </c>
      <c r="B121" s="42" t="s">
        <v>316</v>
      </c>
      <c r="C121" s="42" t="s">
        <v>9</v>
      </c>
      <c r="D121" s="43">
        <v>142</v>
      </c>
      <c r="E121" s="43">
        <v>3957700</v>
      </c>
      <c r="F121" s="43">
        <v>2776</v>
      </c>
      <c r="G121" s="43">
        <v>271022270</v>
      </c>
      <c r="H121" s="43"/>
      <c r="I121" s="43"/>
      <c r="J121" s="43">
        <v>6</v>
      </c>
      <c r="K121" s="43">
        <v>130400</v>
      </c>
      <c r="L121" s="43">
        <v>184</v>
      </c>
      <c r="M121" s="43">
        <v>38635600</v>
      </c>
      <c r="N121" s="43">
        <v>115</v>
      </c>
      <c r="O121" s="43">
        <v>19224800</v>
      </c>
      <c r="P121" s="43">
        <v>25</v>
      </c>
      <c r="Q121" s="43">
        <v>6250400</v>
      </c>
      <c r="R121" s="43">
        <v>44</v>
      </c>
      <c r="S121" s="43">
        <v>13160400</v>
      </c>
      <c r="T121" s="44">
        <f t="shared" si="6"/>
        <v>3108</v>
      </c>
      <c r="U121" s="44">
        <f t="shared" si="6"/>
        <v>313745970</v>
      </c>
      <c r="V121" s="45">
        <f t="shared" si="7"/>
        <v>0.86382709553209558</v>
      </c>
      <c r="W121" s="44">
        <f t="shared" si="8"/>
        <v>2776</v>
      </c>
      <c r="X121" s="44">
        <f t="shared" si="9"/>
        <v>284182670</v>
      </c>
      <c r="Y121" s="43">
        <f t="shared" si="10"/>
        <v>97630.500720461088</v>
      </c>
      <c r="Z121" s="45">
        <f t="shared" si="11"/>
        <v>4.1946036788934694E-2</v>
      </c>
    </row>
    <row r="122" spans="1:26">
      <c r="A122" s="42" t="s">
        <v>317</v>
      </c>
      <c r="B122" s="42" t="s">
        <v>318</v>
      </c>
      <c r="C122" s="42" t="s">
        <v>9</v>
      </c>
      <c r="D122" s="43">
        <v>98</v>
      </c>
      <c r="E122" s="43">
        <v>1501000</v>
      </c>
      <c r="F122" s="43">
        <v>434</v>
      </c>
      <c r="G122" s="43">
        <v>47456200</v>
      </c>
      <c r="H122" s="43">
        <v>1</v>
      </c>
      <c r="I122" s="43">
        <v>128700</v>
      </c>
      <c r="J122" s="43">
        <v>5</v>
      </c>
      <c r="K122" s="43">
        <v>10800</v>
      </c>
      <c r="L122" s="43">
        <v>56</v>
      </c>
      <c r="M122" s="43">
        <v>10046800</v>
      </c>
      <c r="N122" s="43">
        <v>46</v>
      </c>
      <c r="O122" s="43">
        <v>7293000</v>
      </c>
      <c r="P122" s="43"/>
      <c r="Q122" s="43"/>
      <c r="R122" s="43">
        <v>10</v>
      </c>
      <c r="S122" s="43">
        <v>2753800</v>
      </c>
      <c r="T122" s="44">
        <f t="shared" si="6"/>
        <v>594</v>
      </c>
      <c r="U122" s="44">
        <f t="shared" si="6"/>
        <v>59143500</v>
      </c>
      <c r="V122" s="45">
        <f t="shared" si="7"/>
        <v>0.80456685857279331</v>
      </c>
      <c r="W122" s="44">
        <f t="shared" si="8"/>
        <v>435</v>
      </c>
      <c r="X122" s="44">
        <f t="shared" si="9"/>
        <v>50338700</v>
      </c>
      <c r="Y122" s="43">
        <f t="shared" si="10"/>
        <v>109390.57471264368</v>
      </c>
      <c r="Z122" s="45">
        <f t="shared" si="11"/>
        <v>4.6561329647383062E-2</v>
      </c>
    </row>
    <row r="123" spans="1:26">
      <c r="A123" s="42" t="s">
        <v>319</v>
      </c>
      <c r="B123" s="42" t="s">
        <v>320</v>
      </c>
      <c r="C123" s="42" t="s">
        <v>9</v>
      </c>
      <c r="D123" s="43">
        <v>3008</v>
      </c>
      <c r="E123" s="43">
        <v>18748150</v>
      </c>
      <c r="F123" s="43">
        <v>7981</v>
      </c>
      <c r="G123" s="43">
        <v>760916850</v>
      </c>
      <c r="H123" s="43">
        <v>126</v>
      </c>
      <c r="I123" s="43">
        <v>14665000</v>
      </c>
      <c r="J123" s="43">
        <v>254</v>
      </c>
      <c r="K123" s="43">
        <v>3003400</v>
      </c>
      <c r="L123" s="43">
        <v>165</v>
      </c>
      <c r="M123" s="43">
        <v>79424535</v>
      </c>
      <c r="N123" s="43">
        <v>146</v>
      </c>
      <c r="O123" s="43">
        <v>56224435</v>
      </c>
      <c r="P123" s="43">
        <v>5</v>
      </c>
      <c r="Q123" s="43">
        <v>4323800</v>
      </c>
      <c r="R123" s="43">
        <v>14</v>
      </c>
      <c r="S123" s="43">
        <v>18876300</v>
      </c>
      <c r="T123" s="44">
        <f t="shared" si="6"/>
        <v>11534</v>
      </c>
      <c r="U123" s="44">
        <f t="shared" si="6"/>
        <v>876757935</v>
      </c>
      <c r="V123" s="45">
        <f t="shared" si="7"/>
        <v>0.88460203100414481</v>
      </c>
      <c r="W123" s="44">
        <f t="shared" si="8"/>
        <v>8107</v>
      </c>
      <c r="X123" s="44">
        <f t="shared" si="9"/>
        <v>794458150</v>
      </c>
      <c r="Y123" s="43">
        <f t="shared" si="10"/>
        <v>95668.169483162696</v>
      </c>
      <c r="Z123" s="45">
        <f t="shared" si="11"/>
        <v>2.1529659723011234E-2</v>
      </c>
    </row>
    <row r="124" spans="1:26">
      <c r="A124" s="42" t="s">
        <v>321</v>
      </c>
      <c r="B124" s="42" t="s">
        <v>322</v>
      </c>
      <c r="C124" s="42" t="s">
        <v>9</v>
      </c>
      <c r="D124" s="43">
        <v>100</v>
      </c>
      <c r="E124" s="43">
        <v>5469800</v>
      </c>
      <c r="F124" s="43">
        <v>2449</v>
      </c>
      <c r="G124" s="43">
        <v>376888550</v>
      </c>
      <c r="H124" s="43"/>
      <c r="I124" s="43"/>
      <c r="J124" s="43"/>
      <c r="K124" s="43"/>
      <c r="L124" s="43">
        <v>202</v>
      </c>
      <c r="M124" s="43">
        <v>69143200</v>
      </c>
      <c r="N124" s="43">
        <v>161</v>
      </c>
      <c r="O124" s="43">
        <v>42337800</v>
      </c>
      <c r="P124" s="43">
        <v>14</v>
      </c>
      <c r="Q124" s="43">
        <v>13145500</v>
      </c>
      <c r="R124" s="43">
        <v>27</v>
      </c>
      <c r="S124" s="43">
        <v>13659900</v>
      </c>
      <c r="T124" s="44">
        <f t="shared" si="6"/>
        <v>2751</v>
      </c>
      <c r="U124" s="44">
        <f t="shared" si="6"/>
        <v>451501550</v>
      </c>
      <c r="V124" s="45">
        <f t="shared" si="7"/>
        <v>0.83474475336795628</v>
      </c>
      <c r="W124" s="44">
        <f t="shared" si="8"/>
        <v>2449</v>
      </c>
      <c r="X124" s="44">
        <f t="shared" si="9"/>
        <v>390548450</v>
      </c>
      <c r="Y124" s="43">
        <f t="shared" si="10"/>
        <v>153894.87545937116</v>
      </c>
      <c r="Z124" s="45">
        <f t="shared" si="11"/>
        <v>3.025438118650977E-2</v>
      </c>
    </row>
    <row r="125" spans="1:26">
      <c r="A125" s="42" t="s">
        <v>323</v>
      </c>
      <c r="B125" s="42" t="s">
        <v>324</v>
      </c>
      <c r="C125" s="42" t="s">
        <v>9</v>
      </c>
      <c r="D125" s="43">
        <v>27</v>
      </c>
      <c r="E125" s="43">
        <v>1460700</v>
      </c>
      <c r="F125" s="43">
        <v>877</v>
      </c>
      <c r="G125" s="43">
        <v>119219500</v>
      </c>
      <c r="H125" s="43"/>
      <c r="I125" s="43"/>
      <c r="J125" s="43"/>
      <c r="K125" s="43"/>
      <c r="L125" s="43">
        <v>59</v>
      </c>
      <c r="M125" s="43">
        <v>12191700</v>
      </c>
      <c r="N125" s="43">
        <v>46</v>
      </c>
      <c r="O125" s="43">
        <v>7885900</v>
      </c>
      <c r="P125" s="43">
        <v>1</v>
      </c>
      <c r="Q125" s="43">
        <v>932000</v>
      </c>
      <c r="R125" s="43">
        <v>12</v>
      </c>
      <c r="S125" s="43">
        <v>3373800</v>
      </c>
      <c r="T125" s="44">
        <f t="shared" si="6"/>
        <v>963</v>
      </c>
      <c r="U125" s="44">
        <f t="shared" si="6"/>
        <v>132871900</v>
      </c>
      <c r="V125" s="45">
        <f t="shared" si="7"/>
        <v>0.89725141282694088</v>
      </c>
      <c r="W125" s="44">
        <f t="shared" si="8"/>
        <v>877</v>
      </c>
      <c r="X125" s="44">
        <f t="shared" si="9"/>
        <v>122593300</v>
      </c>
      <c r="Y125" s="43">
        <f t="shared" si="10"/>
        <v>135940.13683010262</v>
      </c>
      <c r="Z125" s="45">
        <f t="shared" si="11"/>
        <v>2.5391373194783847E-2</v>
      </c>
    </row>
    <row r="126" spans="1:26">
      <c r="A126" s="42" t="s">
        <v>325</v>
      </c>
      <c r="B126" s="42" t="s">
        <v>326</v>
      </c>
      <c r="C126" s="42" t="s">
        <v>9</v>
      </c>
      <c r="D126" s="43">
        <v>221</v>
      </c>
      <c r="E126" s="43">
        <v>5112250</v>
      </c>
      <c r="F126" s="43">
        <v>1955</v>
      </c>
      <c r="G126" s="43">
        <v>374996100</v>
      </c>
      <c r="H126" s="43">
        <v>90</v>
      </c>
      <c r="I126" s="43">
        <v>14519700</v>
      </c>
      <c r="J126" s="43">
        <v>181</v>
      </c>
      <c r="K126" s="43">
        <v>1531950</v>
      </c>
      <c r="L126" s="43">
        <v>47</v>
      </c>
      <c r="M126" s="43">
        <v>9365100</v>
      </c>
      <c r="N126" s="43">
        <v>40</v>
      </c>
      <c r="O126" s="43">
        <v>7994900</v>
      </c>
      <c r="P126" s="43">
        <v>7</v>
      </c>
      <c r="Q126" s="43">
        <v>1370200</v>
      </c>
      <c r="R126" s="43"/>
      <c r="S126" s="43"/>
      <c r="T126" s="44">
        <f t="shared" si="6"/>
        <v>2494</v>
      </c>
      <c r="U126" s="44">
        <f t="shared" si="6"/>
        <v>405525100</v>
      </c>
      <c r="V126" s="45">
        <f t="shared" si="7"/>
        <v>0.9605220490667532</v>
      </c>
      <c r="W126" s="44">
        <f t="shared" si="8"/>
        <v>2045</v>
      </c>
      <c r="X126" s="44">
        <f t="shared" si="9"/>
        <v>389515800</v>
      </c>
      <c r="Y126" s="43">
        <f t="shared" si="10"/>
        <v>190472.27383863082</v>
      </c>
      <c r="Z126" s="45">
        <f t="shared" si="11"/>
        <v>0</v>
      </c>
    </row>
    <row r="127" spans="1:26">
      <c r="A127" s="42" t="s">
        <v>327</v>
      </c>
      <c r="B127" s="42" t="s">
        <v>328</v>
      </c>
      <c r="C127" s="42" t="s">
        <v>9</v>
      </c>
      <c r="D127" s="43">
        <v>476</v>
      </c>
      <c r="E127" s="43">
        <v>12746200</v>
      </c>
      <c r="F127" s="43">
        <v>4430</v>
      </c>
      <c r="G127" s="43">
        <v>640443000</v>
      </c>
      <c r="H127" s="43">
        <v>199</v>
      </c>
      <c r="I127" s="43">
        <v>41126500</v>
      </c>
      <c r="J127" s="43">
        <v>362</v>
      </c>
      <c r="K127" s="43">
        <v>6080900</v>
      </c>
      <c r="L127" s="43">
        <v>173</v>
      </c>
      <c r="M127" s="43">
        <v>57188500</v>
      </c>
      <c r="N127" s="43">
        <v>151</v>
      </c>
      <c r="O127" s="43">
        <v>50742900</v>
      </c>
      <c r="P127" s="43">
        <v>22</v>
      </c>
      <c r="Q127" s="43">
        <v>6445600</v>
      </c>
      <c r="R127" s="43"/>
      <c r="S127" s="43"/>
      <c r="T127" s="44">
        <f t="shared" si="6"/>
        <v>5640</v>
      </c>
      <c r="U127" s="44">
        <f t="shared" si="6"/>
        <v>757585100</v>
      </c>
      <c r="V127" s="45">
        <f t="shared" si="7"/>
        <v>0.89966064538492108</v>
      </c>
      <c r="W127" s="44">
        <f t="shared" si="8"/>
        <v>4629</v>
      </c>
      <c r="X127" s="44">
        <f t="shared" si="9"/>
        <v>681569500</v>
      </c>
      <c r="Y127" s="43">
        <f t="shared" si="10"/>
        <v>147239.03650896522</v>
      </c>
      <c r="Z127" s="45">
        <f t="shared" si="11"/>
        <v>0</v>
      </c>
    </row>
    <row r="128" spans="1:26">
      <c r="A128" s="42" t="s">
        <v>329</v>
      </c>
      <c r="B128" s="42" t="s">
        <v>330</v>
      </c>
      <c r="C128" s="42" t="s">
        <v>9</v>
      </c>
      <c r="D128" s="43">
        <v>106</v>
      </c>
      <c r="E128" s="43">
        <v>7097900</v>
      </c>
      <c r="F128" s="43">
        <v>1012</v>
      </c>
      <c r="G128" s="43">
        <v>322260900</v>
      </c>
      <c r="H128" s="43">
        <v>164</v>
      </c>
      <c r="I128" s="43">
        <v>54235910</v>
      </c>
      <c r="J128" s="43">
        <v>328</v>
      </c>
      <c r="K128" s="43">
        <v>9176159</v>
      </c>
      <c r="L128" s="43">
        <v>80</v>
      </c>
      <c r="M128" s="43">
        <v>47352780</v>
      </c>
      <c r="N128" s="43">
        <v>80</v>
      </c>
      <c r="O128" s="43">
        <v>47352780</v>
      </c>
      <c r="P128" s="43"/>
      <c r="Q128" s="43"/>
      <c r="R128" s="43"/>
      <c r="S128" s="43"/>
      <c r="T128" s="44">
        <f t="shared" si="6"/>
        <v>1690</v>
      </c>
      <c r="U128" s="44">
        <f t="shared" si="6"/>
        <v>440123649</v>
      </c>
      <c r="V128" s="45">
        <f t="shared" si="7"/>
        <v>0.85543417368149655</v>
      </c>
      <c r="W128" s="44">
        <f t="shared" si="8"/>
        <v>1176</v>
      </c>
      <c r="X128" s="44">
        <f t="shared" si="9"/>
        <v>376496810</v>
      </c>
      <c r="Y128" s="43">
        <f t="shared" si="10"/>
        <v>320150.3486394558</v>
      </c>
      <c r="Z128" s="45">
        <f t="shared" si="11"/>
        <v>0</v>
      </c>
    </row>
    <row r="129" spans="1:26">
      <c r="A129" s="42" t="s">
        <v>331</v>
      </c>
      <c r="B129" s="42" t="s">
        <v>332</v>
      </c>
      <c r="C129" s="42" t="s">
        <v>9</v>
      </c>
      <c r="D129" s="43">
        <v>262</v>
      </c>
      <c r="E129" s="43">
        <v>10979800</v>
      </c>
      <c r="F129" s="43">
        <v>2276</v>
      </c>
      <c r="G129" s="43">
        <v>680403900</v>
      </c>
      <c r="H129" s="43">
        <v>76</v>
      </c>
      <c r="I129" s="43">
        <v>17835400</v>
      </c>
      <c r="J129" s="43">
        <v>190</v>
      </c>
      <c r="K129" s="43">
        <v>2739800</v>
      </c>
      <c r="L129" s="43">
        <v>58</v>
      </c>
      <c r="M129" s="43">
        <v>20230600</v>
      </c>
      <c r="N129" s="43">
        <v>55</v>
      </c>
      <c r="O129" s="43">
        <v>19451500</v>
      </c>
      <c r="P129" s="43">
        <v>3</v>
      </c>
      <c r="Q129" s="43">
        <v>779100</v>
      </c>
      <c r="R129" s="43"/>
      <c r="S129" s="43"/>
      <c r="T129" s="44">
        <f t="shared" si="6"/>
        <v>2862</v>
      </c>
      <c r="U129" s="44">
        <f t="shared" si="6"/>
        <v>732189500</v>
      </c>
      <c r="V129" s="45">
        <f t="shared" si="7"/>
        <v>0.95363194910607163</v>
      </c>
      <c r="W129" s="44">
        <f t="shared" si="8"/>
        <v>2352</v>
      </c>
      <c r="X129" s="44">
        <f t="shared" si="9"/>
        <v>698239300</v>
      </c>
      <c r="Y129" s="43">
        <f t="shared" si="10"/>
        <v>296870.45068027213</v>
      </c>
      <c r="Z129" s="45">
        <f t="shared" si="11"/>
        <v>0</v>
      </c>
    </row>
    <row r="130" spans="1:26">
      <c r="A130" s="42" t="s">
        <v>333</v>
      </c>
      <c r="B130" s="42" t="s">
        <v>254</v>
      </c>
      <c r="C130" s="42" t="s">
        <v>9</v>
      </c>
      <c r="D130" s="43">
        <v>129</v>
      </c>
      <c r="E130" s="43">
        <v>4741300</v>
      </c>
      <c r="F130" s="43">
        <v>308</v>
      </c>
      <c r="G130" s="43">
        <v>91802600</v>
      </c>
      <c r="H130" s="43">
        <v>20</v>
      </c>
      <c r="I130" s="43">
        <v>9194300</v>
      </c>
      <c r="J130" s="43">
        <v>22</v>
      </c>
      <c r="K130" s="43">
        <v>1654300</v>
      </c>
      <c r="L130" s="43">
        <v>19</v>
      </c>
      <c r="M130" s="43">
        <v>17503300</v>
      </c>
      <c r="N130" s="43">
        <v>16</v>
      </c>
      <c r="O130" s="43">
        <v>15103400</v>
      </c>
      <c r="P130" s="43">
        <v>3</v>
      </c>
      <c r="Q130" s="43">
        <v>2399900</v>
      </c>
      <c r="R130" s="43"/>
      <c r="S130" s="43"/>
      <c r="T130" s="44">
        <f t="shared" ref="T130:U193" si="12">R130+P130+N130+J130+H130+F130+D130</f>
        <v>498</v>
      </c>
      <c r="U130" s="44">
        <f t="shared" si="12"/>
        <v>124895800</v>
      </c>
      <c r="V130" s="45">
        <f t="shared" ref="V130:V193" si="13">(G130+I130)/U130</f>
        <v>0.8086492900481842</v>
      </c>
      <c r="W130" s="44">
        <f t="shared" ref="W130:W193" si="14">F130+H130</f>
        <v>328</v>
      </c>
      <c r="X130" s="44">
        <f t="shared" ref="X130:X193" si="15">G130+I130+S130</f>
        <v>100996900</v>
      </c>
      <c r="Y130" s="43">
        <f t="shared" ref="Y130:Y193" si="16">(G130+I130)/(H130+F130)</f>
        <v>307917.37804878049</v>
      </c>
      <c r="Z130" s="45">
        <f t="shared" ref="Z130:Z193" si="17">S130/U130</f>
        <v>0</v>
      </c>
    </row>
    <row r="131" spans="1:26">
      <c r="A131" s="42" t="s">
        <v>334</v>
      </c>
      <c r="B131" s="42" t="s">
        <v>335</v>
      </c>
      <c r="C131" s="42" t="s">
        <v>9</v>
      </c>
      <c r="D131" s="43">
        <v>168</v>
      </c>
      <c r="E131" s="43">
        <v>10919600</v>
      </c>
      <c r="F131" s="43">
        <v>3112</v>
      </c>
      <c r="G131" s="43">
        <v>463505000</v>
      </c>
      <c r="H131" s="43">
        <v>21</v>
      </c>
      <c r="I131" s="43">
        <v>4013700</v>
      </c>
      <c r="J131" s="43">
        <v>65</v>
      </c>
      <c r="K131" s="43">
        <v>996650</v>
      </c>
      <c r="L131" s="43">
        <v>114</v>
      </c>
      <c r="M131" s="43">
        <v>210458600</v>
      </c>
      <c r="N131" s="43">
        <v>112</v>
      </c>
      <c r="O131" s="43">
        <v>199197200</v>
      </c>
      <c r="P131" s="43">
        <v>2</v>
      </c>
      <c r="Q131" s="43">
        <v>11261400</v>
      </c>
      <c r="R131" s="43"/>
      <c r="S131" s="43"/>
      <c r="T131" s="44">
        <f t="shared" si="12"/>
        <v>3480</v>
      </c>
      <c r="U131" s="44">
        <f t="shared" si="12"/>
        <v>689893550</v>
      </c>
      <c r="V131" s="45">
        <f t="shared" si="13"/>
        <v>0.67766788079117424</v>
      </c>
      <c r="W131" s="44">
        <f t="shared" si="14"/>
        <v>3133</v>
      </c>
      <c r="X131" s="44">
        <f t="shared" si="15"/>
        <v>467518700</v>
      </c>
      <c r="Y131" s="43">
        <f t="shared" si="16"/>
        <v>149223.97063517396</v>
      </c>
      <c r="Z131" s="45">
        <f t="shared" si="17"/>
        <v>0</v>
      </c>
    </row>
    <row r="132" spans="1:26">
      <c r="A132" s="42" t="s">
        <v>336</v>
      </c>
      <c r="B132" s="42" t="s">
        <v>337</v>
      </c>
      <c r="C132" s="42" t="s">
        <v>9</v>
      </c>
      <c r="D132" s="43">
        <v>109</v>
      </c>
      <c r="E132" s="43">
        <v>6304800</v>
      </c>
      <c r="F132" s="43">
        <v>10923</v>
      </c>
      <c r="G132" s="43">
        <v>1040595950</v>
      </c>
      <c r="H132" s="43">
        <v>1</v>
      </c>
      <c r="I132" s="43">
        <v>146000</v>
      </c>
      <c r="J132" s="43">
        <v>1</v>
      </c>
      <c r="K132" s="43">
        <v>2000</v>
      </c>
      <c r="L132" s="43">
        <v>166</v>
      </c>
      <c r="M132" s="43">
        <v>69939200</v>
      </c>
      <c r="N132" s="43">
        <v>155</v>
      </c>
      <c r="O132" s="43">
        <v>61427800</v>
      </c>
      <c r="P132" s="43">
        <v>10</v>
      </c>
      <c r="Q132" s="43">
        <v>6759000</v>
      </c>
      <c r="R132" s="43">
        <v>1</v>
      </c>
      <c r="S132" s="43">
        <v>1752400</v>
      </c>
      <c r="T132" s="44">
        <f t="shared" si="12"/>
        <v>11200</v>
      </c>
      <c r="U132" s="44">
        <f t="shared" si="12"/>
        <v>1116987950</v>
      </c>
      <c r="V132" s="45">
        <f t="shared" si="13"/>
        <v>0.93173963962637196</v>
      </c>
      <c r="W132" s="44">
        <f t="shared" si="14"/>
        <v>10924</v>
      </c>
      <c r="X132" s="44">
        <f t="shared" si="15"/>
        <v>1042494350</v>
      </c>
      <c r="Y132" s="43">
        <f t="shared" si="16"/>
        <v>95271.141523251557</v>
      </c>
      <c r="Z132" s="45">
        <f t="shared" si="17"/>
        <v>1.5688620454679032E-3</v>
      </c>
    </row>
    <row r="133" spans="1:26">
      <c r="A133" s="42" t="s">
        <v>338</v>
      </c>
      <c r="B133" s="42" t="s">
        <v>339</v>
      </c>
      <c r="C133" s="42" t="s">
        <v>9</v>
      </c>
      <c r="D133" s="43">
        <v>3050</v>
      </c>
      <c r="E133" s="43">
        <v>9941760</v>
      </c>
      <c r="F133" s="43">
        <v>460</v>
      </c>
      <c r="G133" s="43">
        <v>125743700</v>
      </c>
      <c r="H133" s="43">
        <v>47</v>
      </c>
      <c r="I133" s="43">
        <v>17479400</v>
      </c>
      <c r="J133" s="43">
        <v>130</v>
      </c>
      <c r="K133" s="43">
        <v>945300</v>
      </c>
      <c r="L133" s="43">
        <v>28</v>
      </c>
      <c r="M133" s="43">
        <v>15014000</v>
      </c>
      <c r="N133" s="43">
        <v>20</v>
      </c>
      <c r="O133" s="43">
        <v>5692000</v>
      </c>
      <c r="P133" s="43">
        <v>8</v>
      </c>
      <c r="Q133" s="43">
        <v>9322000</v>
      </c>
      <c r="R133" s="43"/>
      <c r="S133" s="43"/>
      <c r="T133" s="44">
        <f t="shared" si="12"/>
        <v>3715</v>
      </c>
      <c r="U133" s="44">
        <f t="shared" si="12"/>
        <v>169124160</v>
      </c>
      <c r="V133" s="45">
        <f t="shared" si="13"/>
        <v>0.84685180402374205</v>
      </c>
      <c r="W133" s="44">
        <f t="shared" si="14"/>
        <v>507</v>
      </c>
      <c r="X133" s="44">
        <f t="shared" si="15"/>
        <v>143223100</v>
      </c>
      <c r="Y133" s="43">
        <f t="shared" si="16"/>
        <v>282491.32149901381</v>
      </c>
      <c r="Z133" s="45">
        <f t="shared" si="17"/>
        <v>0</v>
      </c>
    </row>
    <row r="134" spans="1:26">
      <c r="A134" s="42" t="s">
        <v>340</v>
      </c>
      <c r="B134" s="42" t="s">
        <v>341</v>
      </c>
      <c r="C134" s="42" t="s">
        <v>9</v>
      </c>
      <c r="D134" s="43">
        <v>29</v>
      </c>
      <c r="E134" s="43">
        <v>839450</v>
      </c>
      <c r="F134" s="43">
        <v>125</v>
      </c>
      <c r="G134" s="43">
        <v>12862500</v>
      </c>
      <c r="H134" s="43"/>
      <c r="I134" s="43"/>
      <c r="J134" s="43">
        <v>2</v>
      </c>
      <c r="K134" s="43">
        <v>12450</v>
      </c>
      <c r="L134" s="43">
        <v>45</v>
      </c>
      <c r="M134" s="43">
        <v>12873150</v>
      </c>
      <c r="N134" s="43">
        <v>37</v>
      </c>
      <c r="O134" s="43">
        <v>9390700</v>
      </c>
      <c r="P134" s="43">
        <v>2</v>
      </c>
      <c r="Q134" s="43">
        <v>252500</v>
      </c>
      <c r="R134" s="43">
        <v>6</v>
      </c>
      <c r="S134" s="43">
        <v>3229950</v>
      </c>
      <c r="T134" s="44">
        <f t="shared" si="12"/>
        <v>201</v>
      </c>
      <c r="U134" s="44">
        <f t="shared" si="12"/>
        <v>26587550</v>
      </c>
      <c r="V134" s="45">
        <f t="shared" si="13"/>
        <v>0.48377906200458487</v>
      </c>
      <c r="W134" s="44">
        <f t="shared" si="14"/>
        <v>125</v>
      </c>
      <c r="X134" s="44">
        <f t="shared" si="15"/>
        <v>16092450</v>
      </c>
      <c r="Y134" s="43">
        <f t="shared" si="16"/>
        <v>102900</v>
      </c>
      <c r="Z134" s="45">
        <f t="shared" si="17"/>
        <v>0.12148355151189184</v>
      </c>
    </row>
    <row r="135" spans="1:26">
      <c r="A135" s="42" t="s">
        <v>342</v>
      </c>
      <c r="B135" s="42" t="s">
        <v>343</v>
      </c>
      <c r="C135" s="42" t="s">
        <v>10</v>
      </c>
      <c r="D135" s="43">
        <v>47</v>
      </c>
      <c r="E135" s="43">
        <v>1088400</v>
      </c>
      <c r="F135" s="43">
        <v>2999</v>
      </c>
      <c r="G135" s="43">
        <v>294183350</v>
      </c>
      <c r="H135" s="43"/>
      <c r="I135" s="43"/>
      <c r="J135" s="43"/>
      <c r="K135" s="43"/>
      <c r="L135" s="43">
        <v>170</v>
      </c>
      <c r="M135" s="43">
        <v>58155000</v>
      </c>
      <c r="N135" s="43">
        <v>154</v>
      </c>
      <c r="O135" s="43">
        <v>50105100</v>
      </c>
      <c r="P135" s="43">
        <v>1</v>
      </c>
      <c r="Q135" s="43">
        <v>140000</v>
      </c>
      <c r="R135" s="43">
        <v>15</v>
      </c>
      <c r="S135" s="43">
        <v>7909900</v>
      </c>
      <c r="T135" s="44">
        <f t="shared" si="12"/>
        <v>3216</v>
      </c>
      <c r="U135" s="44">
        <f t="shared" si="12"/>
        <v>353426750</v>
      </c>
      <c r="V135" s="45">
        <f t="shared" si="13"/>
        <v>0.83237431801639239</v>
      </c>
      <c r="W135" s="44">
        <f t="shared" si="14"/>
        <v>2999</v>
      </c>
      <c r="X135" s="44">
        <f t="shared" si="15"/>
        <v>302093250</v>
      </c>
      <c r="Y135" s="43">
        <f t="shared" si="16"/>
        <v>98093.814604868283</v>
      </c>
      <c r="Z135" s="45">
        <f t="shared" si="17"/>
        <v>2.238059230095062E-2</v>
      </c>
    </row>
    <row r="136" spans="1:26">
      <c r="A136" s="42" t="s">
        <v>344</v>
      </c>
      <c r="B136" s="42" t="s">
        <v>345</v>
      </c>
      <c r="C136" s="42" t="s">
        <v>10</v>
      </c>
      <c r="D136" s="43"/>
      <c r="E136" s="43"/>
      <c r="F136" s="43"/>
      <c r="G136" s="43"/>
      <c r="H136" s="43"/>
      <c r="I136" s="43"/>
      <c r="J136" s="43"/>
      <c r="K136" s="43"/>
      <c r="L136" s="43">
        <v>1</v>
      </c>
      <c r="M136" s="43">
        <v>9267500</v>
      </c>
      <c r="N136" s="43"/>
      <c r="O136" s="43"/>
      <c r="P136" s="43"/>
      <c r="Q136" s="43"/>
      <c r="R136" s="43">
        <v>1</v>
      </c>
      <c r="S136" s="43">
        <v>9267500</v>
      </c>
      <c r="T136" s="44">
        <f t="shared" si="12"/>
        <v>1</v>
      </c>
      <c r="U136" s="44">
        <f t="shared" si="12"/>
        <v>9267500</v>
      </c>
      <c r="V136" s="45">
        <f t="shared" si="13"/>
        <v>0</v>
      </c>
      <c r="W136" s="44">
        <f t="shared" si="14"/>
        <v>0</v>
      </c>
      <c r="X136" s="44">
        <f t="shared" si="15"/>
        <v>9267500</v>
      </c>
      <c r="Y136" s="43" t="e">
        <f t="shared" si="16"/>
        <v>#DIV/0!</v>
      </c>
      <c r="Z136" s="45">
        <f t="shared" si="17"/>
        <v>1</v>
      </c>
    </row>
    <row r="137" spans="1:26">
      <c r="A137" s="42" t="s">
        <v>346</v>
      </c>
      <c r="B137" s="42" t="s">
        <v>347</v>
      </c>
      <c r="C137" s="42" t="s">
        <v>10</v>
      </c>
      <c r="D137" s="43">
        <v>56</v>
      </c>
      <c r="E137" s="43">
        <v>1699000</v>
      </c>
      <c r="F137" s="43">
        <v>2020</v>
      </c>
      <c r="G137" s="43">
        <v>217466000</v>
      </c>
      <c r="H137" s="43">
        <v>1</v>
      </c>
      <c r="I137" s="43">
        <v>304000</v>
      </c>
      <c r="J137" s="43"/>
      <c r="K137" s="43"/>
      <c r="L137" s="43">
        <v>92</v>
      </c>
      <c r="M137" s="43">
        <v>54144700</v>
      </c>
      <c r="N137" s="43">
        <v>75</v>
      </c>
      <c r="O137" s="43">
        <v>19162000</v>
      </c>
      <c r="P137" s="43">
        <v>10</v>
      </c>
      <c r="Q137" s="43">
        <v>18061400</v>
      </c>
      <c r="R137" s="43">
        <v>7</v>
      </c>
      <c r="S137" s="43">
        <v>16921300</v>
      </c>
      <c r="T137" s="44">
        <f t="shared" si="12"/>
        <v>2169</v>
      </c>
      <c r="U137" s="44">
        <f t="shared" si="12"/>
        <v>273613700</v>
      </c>
      <c r="V137" s="45">
        <f t="shared" si="13"/>
        <v>0.79590312911963113</v>
      </c>
      <c r="W137" s="44">
        <f t="shared" si="14"/>
        <v>2021</v>
      </c>
      <c r="X137" s="44">
        <f t="shared" si="15"/>
        <v>234691300</v>
      </c>
      <c r="Y137" s="43">
        <f t="shared" si="16"/>
        <v>107753.58733300347</v>
      </c>
      <c r="Z137" s="45">
        <f t="shared" si="17"/>
        <v>6.1843760016402689E-2</v>
      </c>
    </row>
    <row r="138" spans="1:26">
      <c r="A138" s="42" t="s">
        <v>348</v>
      </c>
      <c r="B138" s="42" t="s">
        <v>349</v>
      </c>
      <c r="C138" s="42" t="s">
        <v>10</v>
      </c>
      <c r="D138" s="43">
        <v>88</v>
      </c>
      <c r="E138" s="43">
        <v>4030800</v>
      </c>
      <c r="F138" s="43">
        <v>3391</v>
      </c>
      <c r="G138" s="43">
        <v>297552200</v>
      </c>
      <c r="H138" s="43"/>
      <c r="I138" s="43"/>
      <c r="J138" s="43"/>
      <c r="K138" s="43"/>
      <c r="L138" s="43">
        <v>175</v>
      </c>
      <c r="M138" s="43">
        <v>127967300</v>
      </c>
      <c r="N138" s="43">
        <v>111</v>
      </c>
      <c r="O138" s="43">
        <v>40861800</v>
      </c>
      <c r="P138" s="43">
        <v>55</v>
      </c>
      <c r="Q138" s="43">
        <v>58522900</v>
      </c>
      <c r="R138" s="43">
        <v>9</v>
      </c>
      <c r="S138" s="43">
        <v>28582600</v>
      </c>
      <c r="T138" s="44">
        <f t="shared" si="12"/>
        <v>3654</v>
      </c>
      <c r="U138" s="44">
        <f t="shared" si="12"/>
        <v>429550300</v>
      </c>
      <c r="V138" s="45">
        <f t="shared" si="13"/>
        <v>0.69270630238181652</v>
      </c>
      <c r="W138" s="44">
        <f t="shared" si="14"/>
        <v>3391</v>
      </c>
      <c r="X138" s="44">
        <f t="shared" si="15"/>
        <v>326134800</v>
      </c>
      <c r="Y138" s="43">
        <f t="shared" si="16"/>
        <v>87747.62606900619</v>
      </c>
      <c r="Z138" s="45">
        <f t="shared" si="17"/>
        <v>6.6540752037654263E-2</v>
      </c>
    </row>
    <row r="139" spans="1:26">
      <c r="A139" s="42" t="s">
        <v>350</v>
      </c>
      <c r="B139" s="42" t="s">
        <v>351</v>
      </c>
      <c r="C139" s="42" t="s">
        <v>10</v>
      </c>
      <c r="D139" s="43">
        <v>253</v>
      </c>
      <c r="E139" s="43">
        <v>10144800</v>
      </c>
      <c r="F139" s="43">
        <v>2501</v>
      </c>
      <c r="G139" s="43">
        <v>327901200</v>
      </c>
      <c r="H139" s="43">
        <v>2</v>
      </c>
      <c r="I139" s="43">
        <v>244900</v>
      </c>
      <c r="J139" s="43">
        <v>4</v>
      </c>
      <c r="K139" s="43">
        <v>56600</v>
      </c>
      <c r="L139" s="43">
        <v>173</v>
      </c>
      <c r="M139" s="43">
        <v>67628940</v>
      </c>
      <c r="N139" s="43">
        <v>151</v>
      </c>
      <c r="O139" s="43">
        <v>58052700</v>
      </c>
      <c r="P139" s="43">
        <v>10</v>
      </c>
      <c r="Q139" s="43">
        <v>6539940</v>
      </c>
      <c r="R139" s="43">
        <v>12</v>
      </c>
      <c r="S139" s="43">
        <v>3036300</v>
      </c>
      <c r="T139" s="44">
        <f t="shared" si="12"/>
        <v>2933</v>
      </c>
      <c r="U139" s="44">
        <f t="shared" si="12"/>
        <v>405976440</v>
      </c>
      <c r="V139" s="45">
        <f t="shared" si="13"/>
        <v>0.80828853024081893</v>
      </c>
      <c r="W139" s="44">
        <f t="shared" si="14"/>
        <v>2503</v>
      </c>
      <c r="X139" s="44">
        <f t="shared" si="15"/>
        <v>331182400</v>
      </c>
      <c r="Y139" s="43">
        <f t="shared" si="16"/>
        <v>131101.11865761087</v>
      </c>
      <c r="Z139" s="45">
        <f t="shared" si="17"/>
        <v>7.479005431940829E-3</v>
      </c>
    </row>
    <row r="140" spans="1:26">
      <c r="A140" s="42" t="s">
        <v>352</v>
      </c>
      <c r="B140" s="42" t="s">
        <v>353</v>
      </c>
      <c r="C140" s="42" t="s">
        <v>10</v>
      </c>
      <c r="D140" s="43">
        <v>320</v>
      </c>
      <c r="E140" s="43">
        <v>11164300</v>
      </c>
      <c r="F140" s="43">
        <v>1684</v>
      </c>
      <c r="G140" s="43">
        <v>172878100</v>
      </c>
      <c r="H140" s="43">
        <v>2</v>
      </c>
      <c r="I140" s="43">
        <v>166400</v>
      </c>
      <c r="J140" s="43">
        <v>9</v>
      </c>
      <c r="K140" s="43">
        <v>43300</v>
      </c>
      <c r="L140" s="43">
        <v>400</v>
      </c>
      <c r="M140" s="43">
        <v>156789200</v>
      </c>
      <c r="N140" s="43">
        <v>344</v>
      </c>
      <c r="O140" s="43">
        <v>119255400</v>
      </c>
      <c r="P140" s="43">
        <v>53</v>
      </c>
      <c r="Q140" s="43">
        <v>33578200</v>
      </c>
      <c r="R140" s="43">
        <v>3</v>
      </c>
      <c r="S140" s="43">
        <v>3955600</v>
      </c>
      <c r="T140" s="44">
        <f t="shared" si="12"/>
        <v>2415</v>
      </c>
      <c r="U140" s="44">
        <f t="shared" si="12"/>
        <v>341041300</v>
      </c>
      <c r="V140" s="45">
        <f t="shared" si="13"/>
        <v>0.50740042335048574</v>
      </c>
      <c r="W140" s="44">
        <f t="shared" si="14"/>
        <v>1686</v>
      </c>
      <c r="X140" s="44">
        <f t="shared" si="15"/>
        <v>177000100</v>
      </c>
      <c r="Y140" s="43">
        <f t="shared" si="16"/>
        <v>102636.12099644128</v>
      </c>
      <c r="Z140" s="45">
        <f t="shared" si="17"/>
        <v>1.1598595243449987E-2</v>
      </c>
    </row>
    <row r="141" spans="1:26">
      <c r="A141" s="42" t="s">
        <v>354</v>
      </c>
      <c r="B141" s="42" t="s">
        <v>355</v>
      </c>
      <c r="C141" s="42" t="s">
        <v>10</v>
      </c>
      <c r="D141" s="43">
        <v>30</v>
      </c>
      <c r="E141" s="43">
        <v>466300</v>
      </c>
      <c r="F141" s="43">
        <v>689</v>
      </c>
      <c r="G141" s="43">
        <v>52830000</v>
      </c>
      <c r="H141" s="43"/>
      <c r="I141" s="43"/>
      <c r="J141" s="43"/>
      <c r="K141" s="43"/>
      <c r="L141" s="43">
        <v>81</v>
      </c>
      <c r="M141" s="43">
        <v>25604900</v>
      </c>
      <c r="N141" s="43">
        <v>74</v>
      </c>
      <c r="O141" s="43">
        <v>23754500</v>
      </c>
      <c r="P141" s="43">
        <v>3</v>
      </c>
      <c r="Q141" s="43">
        <v>819700</v>
      </c>
      <c r="R141" s="43">
        <v>4</v>
      </c>
      <c r="S141" s="43">
        <v>1030700</v>
      </c>
      <c r="T141" s="44">
        <f t="shared" si="12"/>
        <v>800</v>
      </c>
      <c r="U141" s="44">
        <f t="shared" si="12"/>
        <v>78901200</v>
      </c>
      <c r="V141" s="45">
        <f t="shared" si="13"/>
        <v>0.669571565451476</v>
      </c>
      <c r="W141" s="44">
        <f t="shared" si="14"/>
        <v>689</v>
      </c>
      <c r="X141" s="44">
        <f t="shared" si="15"/>
        <v>53860700</v>
      </c>
      <c r="Y141" s="43">
        <f t="shared" si="16"/>
        <v>76676.34252539913</v>
      </c>
      <c r="Z141" s="45">
        <f t="shared" si="17"/>
        <v>1.3063172676714675E-2</v>
      </c>
    </row>
    <row r="142" spans="1:26">
      <c r="A142" s="42" t="s">
        <v>356</v>
      </c>
      <c r="B142" s="42" t="s">
        <v>357</v>
      </c>
      <c r="C142" s="42" t="s">
        <v>10</v>
      </c>
      <c r="D142" s="43">
        <v>4651</v>
      </c>
      <c r="E142" s="43">
        <v>20000480</v>
      </c>
      <c r="F142" s="43">
        <v>20006</v>
      </c>
      <c r="G142" s="43">
        <v>533543360</v>
      </c>
      <c r="H142" s="43"/>
      <c r="I142" s="43"/>
      <c r="J142" s="43"/>
      <c r="K142" s="43"/>
      <c r="L142" s="43">
        <v>1620</v>
      </c>
      <c r="M142" s="43">
        <v>221374847</v>
      </c>
      <c r="N142" s="43">
        <v>1411</v>
      </c>
      <c r="O142" s="43">
        <v>129926193</v>
      </c>
      <c r="P142" s="43">
        <v>92</v>
      </c>
      <c r="Q142" s="43">
        <v>60830900</v>
      </c>
      <c r="R142" s="43">
        <v>117</v>
      </c>
      <c r="S142" s="43">
        <v>30617754</v>
      </c>
      <c r="T142" s="44">
        <f t="shared" si="12"/>
        <v>26277</v>
      </c>
      <c r="U142" s="44">
        <f t="shared" si="12"/>
        <v>774918687</v>
      </c>
      <c r="V142" s="45">
        <f t="shared" si="13"/>
        <v>0.68851528418490704</v>
      </c>
      <c r="W142" s="44">
        <f t="shared" si="14"/>
        <v>20006</v>
      </c>
      <c r="X142" s="44">
        <f t="shared" si="15"/>
        <v>564161114</v>
      </c>
      <c r="Y142" s="43">
        <f t="shared" si="16"/>
        <v>26669.167249825052</v>
      </c>
      <c r="Z142" s="45">
        <f t="shared" si="17"/>
        <v>3.9510924841073033E-2</v>
      </c>
    </row>
    <row r="143" spans="1:26">
      <c r="A143" s="42" t="s">
        <v>358</v>
      </c>
      <c r="B143" s="42" t="s">
        <v>359</v>
      </c>
      <c r="C143" s="42" t="s">
        <v>10</v>
      </c>
      <c r="D143" s="43">
        <v>1655</v>
      </c>
      <c r="E143" s="43">
        <v>53446500</v>
      </c>
      <c r="F143" s="43">
        <v>23673</v>
      </c>
      <c r="G143" s="43">
        <v>3310522100</v>
      </c>
      <c r="H143" s="43">
        <v>6</v>
      </c>
      <c r="I143" s="43">
        <v>2961000</v>
      </c>
      <c r="J143" s="43">
        <v>7</v>
      </c>
      <c r="K143" s="43">
        <v>181400</v>
      </c>
      <c r="L143" s="43">
        <v>1151</v>
      </c>
      <c r="M143" s="43">
        <v>1232024300</v>
      </c>
      <c r="N143" s="43">
        <v>914</v>
      </c>
      <c r="O143" s="43">
        <v>1013510800</v>
      </c>
      <c r="P143" s="43">
        <v>222</v>
      </c>
      <c r="Q143" s="43">
        <v>114487700</v>
      </c>
      <c r="R143" s="43">
        <v>15</v>
      </c>
      <c r="S143" s="43">
        <v>104025800</v>
      </c>
      <c r="T143" s="44">
        <f t="shared" si="12"/>
        <v>26492</v>
      </c>
      <c r="U143" s="44">
        <f t="shared" si="12"/>
        <v>4599135300</v>
      </c>
      <c r="V143" s="45">
        <f t="shared" si="13"/>
        <v>0.7204578434559209</v>
      </c>
      <c r="W143" s="44">
        <f t="shared" si="14"/>
        <v>23679</v>
      </c>
      <c r="X143" s="44">
        <f t="shared" si="15"/>
        <v>3417508900</v>
      </c>
      <c r="Y143" s="43">
        <f t="shared" si="16"/>
        <v>139933.40512690571</v>
      </c>
      <c r="Z143" s="45">
        <f t="shared" si="17"/>
        <v>2.2618556144673542E-2</v>
      </c>
    </row>
    <row r="144" spans="1:26">
      <c r="A144" s="42" t="s">
        <v>360</v>
      </c>
      <c r="B144" s="42" t="s">
        <v>361</v>
      </c>
      <c r="C144" s="42" t="s">
        <v>10</v>
      </c>
      <c r="D144" s="43">
        <v>332</v>
      </c>
      <c r="E144" s="43">
        <v>7328200</v>
      </c>
      <c r="F144" s="43">
        <v>452</v>
      </c>
      <c r="G144" s="43">
        <v>74505300</v>
      </c>
      <c r="H144" s="43"/>
      <c r="I144" s="43"/>
      <c r="J144" s="43"/>
      <c r="K144" s="43"/>
      <c r="L144" s="43">
        <v>22</v>
      </c>
      <c r="M144" s="43">
        <v>5996400</v>
      </c>
      <c r="N144" s="43">
        <v>18</v>
      </c>
      <c r="O144" s="43">
        <v>4801700</v>
      </c>
      <c r="P144" s="43">
        <v>2</v>
      </c>
      <c r="Q144" s="43">
        <v>778500</v>
      </c>
      <c r="R144" s="43">
        <v>2</v>
      </c>
      <c r="S144" s="43">
        <v>416200</v>
      </c>
      <c r="T144" s="44">
        <f t="shared" si="12"/>
        <v>806</v>
      </c>
      <c r="U144" s="44">
        <f t="shared" si="12"/>
        <v>87829900</v>
      </c>
      <c r="V144" s="45">
        <f t="shared" si="13"/>
        <v>0.84829084400642607</v>
      </c>
      <c r="W144" s="44">
        <f t="shared" si="14"/>
        <v>452</v>
      </c>
      <c r="X144" s="44">
        <f t="shared" si="15"/>
        <v>74921500</v>
      </c>
      <c r="Y144" s="43">
        <f t="shared" si="16"/>
        <v>164834.73451327434</v>
      </c>
      <c r="Z144" s="45">
        <f t="shared" si="17"/>
        <v>4.7387051562167324E-3</v>
      </c>
    </row>
    <row r="145" spans="1:26">
      <c r="A145" s="42" t="s">
        <v>362</v>
      </c>
      <c r="B145" s="42" t="s">
        <v>363</v>
      </c>
      <c r="C145" s="42" t="s">
        <v>10</v>
      </c>
      <c r="D145" s="43">
        <v>167</v>
      </c>
      <c r="E145" s="43">
        <v>3178100</v>
      </c>
      <c r="F145" s="43">
        <v>1632</v>
      </c>
      <c r="G145" s="43">
        <v>135158580</v>
      </c>
      <c r="H145" s="43">
        <v>1</v>
      </c>
      <c r="I145" s="43">
        <v>103100</v>
      </c>
      <c r="J145" s="43">
        <v>1</v>
      </c>
      <c r="K145" s="43">
        <v>3600</v>
      </c>
      <c r="L145" s="43">
        <v>89</v>
      </c>
      <c r="M145" s="43">
        <v>33478000</v>
      </c>
      <c r="N145" s="43">
        <v>83</v>
      </c>
      <c r="O145" s="43">
        <v>25941900</v>
      </c>
      <c r="P145" s="43"/>
      <c r="Q145" s="43"/>
      <c r="R145" s="43">
        <v>6</v>
      </c>
      <c r="S145" s="43">
        <v>7536100</v>
      </c>
      <c r="T145" s="44">
        <f t="shared" si="12"/>
        <v>1890</v>
      </c>
      <c r="U145" s="44">
        <f t="shared" si="12"/>
        <v>171921380</v>
      </c>
      <c r="V145" s="45">
        <f t="shared" si="13"/>
        <v>0.78676474095310311</v>
      </c>
      <c r="W145" s="44">
        <f t="shared" si="14"/>
        <v>1633</v>
      </c>
      <c r="X145" s="44">
        <f t="shared" si="15"/>
        <v>142797780</v>
      </c>
      <c r="Y145" s="43">
        <f t="shared" si="16"/>
        <v>82830.177587262704</v>
      </c>
      <c r="Z145" s="45">
        <f t="shared" si="17"/>
        <v>4.3834571360467207E-2</v>
      </c>
    </row>
    <row r="146" spans="1:26">
      <c r="A146" s="42" t="s">
        <v>364</v>
      </c>
      <c r="B146" s="42" t="s">
        <v>365</v>
      </c>
      <c r="C146" s="42" t="s">
        <v>10</v>
      </c>
      <c r="D146" s="43">
        <v>144</v>
      </c>
      <c r="E146" s="43">
        <v>10780100</v>
      </c>
      <c r="F146" s="43">
        <v>3910</v>
      </c>
      <c r="G146" s="43">
        <v>908917800</v>
      </c>
      <c r="H146" s="43"/>
      <c r="I146" s="43"/>
      <c r="J146" s="43"/>
      <c r="K146" s="43"/>
      <c r="L146" s="43">
        <v>336</v>
      </c>
      <c r="M146" s="43">
        <v>164334300</v>
      </c>
      <c r="N146" s="43">
        <v>296</v>
      </c>
      <c r="O146" s="43">
        <v>122710600</v>
      </c>
      <c r="P146" s="43"/>
      <c r="Q146" s="43"/>
      <c r="R146" s="43">
        <v>40</v>
      </c>
      <c r="S146" s="43">
        <v>41623700</v>
      </c>
      <c r="T146" s="44">
        <f t="shared" si="12"/>
        <v>4390</v>
      </c>
      <c r="U146" s="44">
        <f t="shared" si="12"/>
        <v>1084032200</v>
      </c>
      <c r="V146" s="45">
        <f t="shared" si="13"/>
        <v>0.83846014906199284</v>
      </c>
      <c r="W146" s="44">
        <f t="shared" si="14"/>
        <v>3910</v>
      </c>
      <c r="X146" s="44">
        <f t="shared" si="15"/>
        <v>950541500</v>
      </c>
      <c r="Y146" s="43">
        <f t="shared" si="16"/>
        <v>232459.79539641945</v>
      </c>
      <c r="Z146" s="45">
        <f t="shared" si="17"/>
        <v>3.8397106654211935E-2</v>
      </c>
    </row>
    <row r="147" spans="1:26">
      <c r="A147" s="42" t="s">
        <v>366</v>
      </c>
      <c r="B147" s="42" t="s">
        <v>367</v>
      </c>
      <c r="C147" s="42" t="s">
        <v>10</v>
      </c>
      <c r="D147" s="43">
        <v>120</v>
      </c>
      <c r="E147" s="43">
        <v>8599900</v>
      </c>
      <c r="F147" s="43">
        <v>800</v>
      </c>
      <c r="G147" s="43">
        <v>129686100</v>
      </c>
      <c r="H147" s="43">
        <v>1</v>
      </c>
      <c r="I147" s="43">
        <v>169400</v>
      </c>
      <c r="J147" s="43">
        <v>2</v>
      </c>
      <c r="K147" s="43">
        <v>24700</v>
      </c>
      <c r="L147" s="43">
        <v>109</v>
      </c>
      <c r="M147" s="43">
        <v>41461300</v>
      </c>
      <c r="N147" s="43">
        <v>97</v>
      </c>
      <c r="O147" s="43">
        <v>28951700</v>
      </c>
      <c r="P147" s="43">
        <v>11</v>
      </c>
      <c r="Q147" s="43">
        <v>12284600</v>
      </c>
      <c r="R147" s="43">
        <v>1</v>
      </c>
      <c r="S147" s="43">
        <v>225000</v>
      </c>
      <c r="T147" s="44">
        <f t="shared" si="12"/>
        <v>1032</v>
      </c>
      <c r="U147" s="44">
        <f t="shared" si="12"/>
        <v>179941400</v>
      </c>
      <c r="V147" s="45">
        <f t="shared" si="13"/>
        <v>0.72165438303803353</v>
      </c>
      <c r="W147" s="44">
        <f t="shared" si="14"/>
        <v>801</v>
      </c>
      <c r="X147" s="44">
        <f t="shared" si="15"/>
        <v>130080500</v>
      </c>
      <c r="Y147" s="43">
        <f t="shared" si="16"/>
        <v>162116.7290886392</v>
      </c>
      <c r="Z147" s="45">
        <f t="shared" si="17"/>
        <v>1.2504070769706137E-3</v>
      </c>
    </row>
    <row r="148" spans="1:26">
      <c r="A148" s="42" t="s">
        <v>368</v>
      </c>
      <c r="B148" s="42" t="s">
        <v>369</v>
      </c>
      <c r="C148" s="42" t="s">
        <v>10</v>
      </c>
      <c r="D148" s="43">
        <v>251</v>
      </c>
      <c r="E148" s="43">
        <v>6845200</v>
      </c>
      <c r="F148" s="43">
        <v>3655</v>
      </c>
      <c r="G148" s="43">
        <v>262553900</v>
      </c>
      <c r="H148" s="43"/>
      <c r="I148" s="43"/>
      <c r="J148" s="43"/>
      <c r="K148" s="43"/>
      <c r="L148" s="43">
        <v>318</v>
      </c>
      <c r="M148" s="43">
        <v>85705700</v>
      </c>
      <c r="N148" s="43">
        <v>272</v>
      </c>
      <c r="O148" s="43">
        <v>74025900</v>
      </c>
      <c r="P148" s="43">
        <v>27</v>
      </c>
      <c r="Q148" s="43">
        <v>7026700</v>
      </c>
      <c r="R148" s="43">
        <v>19</v>
      </c>
      <c r="S148" s="43">
        <v>4653100</v>
      </c>
      <c r="T148" s="44">
        <f t="shared" si="12"/>
        <v>4224</v>
      </c>
      <c r="U148" s="44">
        <f t="shared" si="12"/>
        <v>355104800</v>
      </c>
      <c r="V148" s="45">
        <f t="shared" si="13"/>
        <v>0.73937018029607038</v>
      </c>
      <c r="W148" s="44">
        <f t="shared" si="14"/>
        <v>3655</v>
      </c>
      <c r="X148" s="44">
        <f t="shared" si="15"/>
        <v>267207000</v>
      </c>
      <c r="Y148" s="43">
        <f t="shared" si="16"/>
        <v>71834.17236662106</v>
      </c>
      <c r="Z148" s="45">
        <f t="shared" si="17"/>
        <v>1.3103455655907778E-2</v>
      </c>
    </row>
    <row r="149" spans="1:26">
      <c r="A149" s="42" t="s">
        <v>370</v>
      </c>
      <c r="B149" s="42" t="s">
        <v>371</v>
      </c>
      <c r="C149" s="42" t="s">
        <v>10</v>
      </c>
      <c r="D149" s="43">
        <v>1264</v>
      </c>
      <c r="E149" s="43">
        <v>25716200</v>
      </c>
      <c r="F149" s="43">
        <v>19690</v>
      </c>
      <c r="G149" s="43">
        <v>2140088300</v>
      </c>
      <c r="H149" s="43">
        <v>28</v>
      </c>
      <c r="I149" s="43">
        <v>3857300</v>
      </c>
      <c r="J149" s="43">
        <v>65</v>
      </c>
      <c r="K149" s="43">
        <v>456400</v>
      </c>
      <c r="L149" s="43">
        <v>563</v>
      </c>
      <c r="M149" s="43">
        <v>269677200</v>
      </c>
      <c r="N149" s="43">
        <v>505</v>
      </c>
      <c r="O149" s="43">
        <v>151720300</v>
      </c>
      <c r="P149" s="43">
        <v>32</v>
      </c>
      <c r="Q149" s="43">
        <v>32694200</v>
      </c>
      <c r="R149" s="43">
        <v>26</v>
      </c>
      <c r="S149" s="43">
        <v>85262700</v>
      </c>
      <c r="T149" s="44">
        <f t="shared" si="12"/>
        <v>21610</v>
      </c>
      <c r="U149" s="44">
        <f t="shared" si="12"/>
        <v>2439795400</v>
      </c>
      <c r="V149" s="45">
        <f t="shared" si="13"/>
        <v>0.87873991401082241</v>
      </c>
      <c r="W149" s="44">
        <f t="shared" si="14"/>
        <v>19718</v>
      </c>
      <c r="X149" s="44">
        <f t="shared" si="15"/>
        <v>2229208300</v>
      </c>
      <c r="Y149" s="43">
        <f t="shared" si="16"/>
        <v>108730.37833451669</v>
      </c>
      <c r="Z149" s="45">
        <f t="shared" si="17"/>
        <v>3.4946659871561363E-2</v>
      </c>
    </row>
    <row r="150" spans="1:26">
      <c r="A150" s="42" t="s">
        <v>372</v>
      </c>
      <c r="B150" s="42" t="s">
        <v>373</v>
      </c>
      <c r="C150" s="42" t="s">
        <v>10</v>
      </c>
      <c r="D150" s="43">
        <v>128</v>
      </c>
      <c r="E150" s="43">
        <v>2848700</v>
      </c>
      <c r="F150" s="43">
        <v>4727</v>
      </c>
      <c r="G150" s="43">
        <v>564026900</v>
      </c>
      <c r="H150" s="43"/>
      <c r="I150" s="43"/>
      <c r="J150" s="43"/>
      <c r="K150" s="43"/>
      <c r="L150" s="43">
        <v>305</v>
      </c>
      <c r="M150" s="43">
        <v>114588500</v>
      </c>
      <c r="N150" s="43">
        <v>269</v>
      </c>
      <c r="O150" s="43">
        <v>78165400</v>
      </c>
      <c r="P150" s="43">
        <v>19</v>
      </c>
      <c r="Q150" s="43">
        <v>4262200</v>
      </c>
      <c r="R150" s="43">
        <v>17</v>
      </c>
      <c r="S150" s="43">
        <v>32160900</v>
      </c>
      <c r="T150" s="44">
        <f t="shared" si="12"/>
        <v>5160</v>
      </c>
      <c r="U150" s="44">
        <f t="shared" si="12"/>
        <v>681464100</v>
      </c>
      <c r="V150" s="45">
        <f t="shared" si="13"/>
        <v>0.82766927854306627</v>
      </c>
      <c r="W150" s="44">
        <f t="shared" si="14"/>
        <v>4727</v>
      </c>
      <c r="X150" s="44">
        <f t="shared" si="15"/>
        <v>596187800</v>
      </c>
      <c r="Y150" s="43">
        <f t="shared" si="16"/>
        <v>119320.26655383964</v>
      </c>
      <c r="Z150" s="45">
        <f t="shared" si="17"/>
        <v>4.7193828699120026E-2</v>
      </c>
    </row>
    <row r="151" spans="1:26">
      <c r="A151" s="42" t="s">
        <v>374</v>
      </c>
      <c r="B151" s="42" t="s">
        <v>375</v>
      </c>
      <c r="C151" s="42" t="s">
        <v>10</v>
      </c>
      <c r="D151" s="43">
        <v>64</v>
      </c>
      <c r="E151" s="43">
        <v>12511200</v>
      </c>
      <c r="F151" s="43">
        <v>4086</v>
      </c>
      <c r="G151" s="43">
        <v>2007692800</v>
      </c>
      <c r="H151" s="43"/>
      <c r="I151" s="43"/>
      <c r="J151" s="43"/>
      <c r="K151" s="43"/>
      <c r="L151" s="43">
        <v>300</v>
      </c>
      <c r="M151" s="43">
        <v>235067200</v>
      </c>
      <c r="N151" s="43">
        <v>288</v>
      </c>
      <c r="O151" s="43">
        <v>220959500</v>
      </c>
      <c r="P151" s="43"/>
      <c r="Q151" s="43"/>
      <c r="R151" s="43">
        <v>12</v>
      </c>
      <c r="S151" s="43">
        <v>14107700</v>
      </c>
      <c r="T151" s="44">
        <f t="shared" si="12"/>
        <v>4450</v>
      </c>
      <c r="U151" s="44">
        <f t="shared" si="12"/>
        <v>2255271200</v>
      </c>
      <c r="V151" s="45">
        <f t="shared" si="13"/>
        <v>0.89022233778358895</v>
      </c>
      <c r="W151" s="44">
        <f t="shared" si="14"/>
        <v>4086</v>
      </c>
      <c r="X151" s="44">
        <f t="shared" si="15"/>
        <v>2021800500</v>
      </c>
      <c r="Y151" s="43">
        <f t="shared" si="16"/>
        <v>491358.98188937834</v>
      </c>
      <c r="Z151" s="45">
        <f t="shared" si="17"/>
        <v>6.2554339362822526E-3</v>
      </c>
    </row>
    <row r="152" spans="1:26">
      <c r="A152" s="42" t="s">
        <v>376</v>
      </c>
      <c r="B152" s="42" t="s">
        <v>377</v>
      </c>
      <c r="C152" s="42" t="s">
        <v>10</v>
      </c>
      <c r="D152" s="43">
        <v>80</v>
      </c>
      <c r="E152" s="43">
        <v>2398400</v>
      </c>
      <c r="F152" s="43">
        <v>2510</v>
      </c>
      <c r="G152" s="43">
        <v>728223300</v>
      </c>
      <c r="H152" s="43"/>
      <c r="I152" s="43"/>
      <c r="J152" s="43"/>
      <c r="K152" s="43"/>
      <c r="L152" s="43">
        <v>186</v>
      </c>
      <c r="M152" s="43">
        <v>91166600</v>
      </c>
      <c r="N152" s="43">
        <v>171</v>
      </c>
      <c r="O152" s="43">
        <v>82956400</v>
      </c>
      <c r="P152" s="43">
        <v>2</v>
      </c>
      <c r="Q152" s="43">
        <v>517600</v>
      </c>
      <c r="R152" s="43">
        <v>13</v>
      </c>
      <c r="S152" s="43">
        <v>7692600</v>
      </c>
      <c r="T152" s="44">
        <f t="shared" si="12"/>
        <v>2776</v>
      </c>
      <c r="U152" s="44">
        <f t="shared" si="12"/>
        <v>821788300</v>
      </c>
      <c r="V152" s="45">
        <f t="shared" si="13"/>
        <v>0.88614464333454246</v>
      </c>
      <c r="W152" s="44">
        <f t="shared" si="14"/>
        <v>2510</v>
      </c>
      <c r="X152" s="44">
        <f t="shared" si="15"/>
        <v>735915900</v>
      </c>
      <c r="Y152" s="43">
        <f t="shared" si="16"/>
        <v>290128.8047808765</v>
      </c>
      <c r="Z152" s="45">
        <f t="shared" si="17"/>
        <v>9.3608049664372205E-3</v>
      </c>
    </row>
    <row r="153" spans="1:26">
      <c r="A153" s="42" t="s">
        <v>378</v>
      </c>
      <c r="B153" s="42" t="s">
        <v>379</v>
      </c>
      <c r="C153" s="42" t="s">
        <v>10</v>
      </c>
      <c r="D153" s="43">
        <v>3</v>
      </c>
      <c r="E153" s="43">
        <v>34300</v>
      </c>
      <c r="F153" s="43">
        <v>126</v>
      </c>
      <c r="G153" s="43">
        <v>11718400</v>
      </c>
      <c r="H153" s="43">
        <v>1</v>
      </c>
      <c r="I153" s="43">
        <v>140000</v>
      </c>
      <c r="J153" s="43">
        <v>1</v>
      </c>
      <c r="K153" s="43">
        <v>11600</v>
      </c>
      <c r="L153" s="43">
        <v>14</v>
      </c>
      <c r="M153" s="43">
        <v>10859700</v>
      </c>
      <c r="N153" s="43">
        <v>12</v>
      </c>
      <c r="O153" s="43">
        <v>4754800</v>
      </c>
      <c r="P153" s="43"/>
      <c r="Q153" s="43"/>
      <c r="R153" s="43">
        <v>2</v>
      </c>
      <c r="S153" s="43">
        <v>6104900</v>
      </c>
      <c r="T153" s="44">
        <f t="shared" si="12"/>
        <v>145</v>
      </c>
      <c r="U153" s="44">
        <f t="shared" si="12"/>
        <v>22764000</v>
      </c>
      <c r="V153" s="45">
        <f t="shared" si="13"/>
        <v>0.52092778070637846</v>
      </c>
      <c r="W153" s="44">
        <f t="shared" si="14"/>
        <v>127</v>
      </c>
      <c r="X153" s="44">
        <f t="shared" si="15"/>
        <v>17963300</v>
      </c>
      <c r="Y153" s="43">
        <f t="shared" si="16"/>
        <v>93373.228346456686</v>
      </c>
      <c r="Z153" s="45">
        <f t="shared" si="17"/>
        <v>0.2681822175364611</v>
      </c>
    </row>
    <row r="154" spans="1:26">
      <c r="A154" s="42" t="s">
        <v>380</v>
      </c>
      <c r="B154" s="42" t="s">
        <v>381</v>
      </c>
      <c r="C154" s="42" t="s">
        <v>10</v>
      </c>
      <c r="D154" s="43">
        <v>15</v>
      </c>
      <c r="E154" s="43">
        <v>365000</v>
      </c>
      <c r="F154" s="43">
        <v>629</v>
      </c>
      <c r="G154" s="43">
        <v>68178400</v>
      </c>
      <c r="H154" s="43"/>
      <c r="I154" s="43"/>
      <c r="J154" s="43"/>
      <c r="K154" s="43"/>
      <c r="L154" s="43">
        <v>41</v>
      </c>
      <c r="M154" s="43">
        <v>10217400</v>
      </c>
      <c r="N154" s="43">
        <v>38</v>
      </c>
      <c r="O154" s="43">
        <v>8377100</v>
      </c>
      <c r="P154" s="43"/>
      <c r="Q154" s="43"/>
      <c r="R154" s="43">
        <v>3</v>
      </c>
      <c r="S154" s="43">
        <v>1840300</v>
      </c>
      <c r="T154" s="44">
        <f t="shared" si="12"/>
        <v>685</v>
      </c>
      <c r="U154" s="44">
        <f t="shared" si="12"/>
        <v>78760800</v>
      </c>
      <c r="V154" s="45">
        <f t="shared" si="13"/>
        <v>0.8656387441468345</v>
      </c>
      <c r="W154" s="44">
        <f t="shared" si="14"/>
        <v>629</v>
      </c>
      <c r="X154" s="44">
        <f t="shared" si="15"/>
        <v>70018700</v>
      </c>
      <c r="Y154" s="43">
        <f t="shared" si="16"/>
        <v>108391.73290937996</v>
      </c>
      <c r="Z154" s="45">
        <f t="shared" si="17"/>
        <v>2.3365684452164019E-2</v>
      </c>
    </row>
    <row r="155" spans="1:26">
      <c r="A155" s="42" t="s">
        <v>382</v>
      </c>
      <c r="B155" s="42" t="s">
        <v>383</v>
      </c>
      <c r="C155" s="42" t="s">
        <v>10</v>
      </c>
      <c r="D155" s="43">
        <v>219</v>
      </c>
      <c r="E155" s="43">
        <v>2924000</v>
      </c>
      <c r="F155" s="43">
        <v>994</v>
      </c>
      <c r="G155" s="43">
        <v>102282000</v>
      </c>
      <c r="H155" s="43"/>
      <c r="I155" s="43"/>
      <c r="J155" s="43"/>
      <c r="K155" s="43"/>
      <c r="L155" s="43">
        <v>69</v>
      </c>
      <c r="M155" s="43">
        <v>55275000</v>
      </c>
      <c r="N155" s="43">
        <v>62</v>
      </c>
      <c r="O155" s="43">
        <v>39830200</v>
      </c>
      <c r="P155" s="43">
        <v>2</v>
      </c>
      <c r="Q155" s="43">
        <v>12203200</v>
      </c>
      <c r="R155" s="43">
        <v>5</v>
      </c>
      <c r="S155" s="43">
        <v>3241600</v>
      </c>
      <c r="T155" s="44">
        <f t="shared" si="12"/>
        <v>1282</v>
      </c>
      <c r="U155" s="44">
        <f t="shared" si="12"/>
        <v>160481000</v>
      </c>
      <c r="V155" s="45">
        <f t="shared" si="13"/>
        <v>0.63734647715305859</v>
      </c>
      <c r="W155" s="44">
        <f t="shared" si="14"/>
        <v>994</v>
      </c>
      <c r="X155" s="44">
        <f t="shared" si="15"/>
        <v>105523600</v>
      </c>
      <c r="Y155" s="43">
        <f t="shared" si="16"/>
        <v>102899.39637826962</v>
      </c>
      <c r="Z155" s="45">
        <f t="shared" si="17"/>
        <v>2.0199275926745221E-2</v>
      </c>
    </row>
    <row r="156" spans="1:26">
      <c r="A156" s="42" t="s">
        <v>384</v>
      </c>
      <c r="B156" s="42" t="s">
        <v>385</v>
      </c>
      <c r="C156" s="42" t="s">
        <v>10</v>
      </c>
      <c r="D156" s="43">
        <v>340</v>
      </c>
      <c r="E156" s="43">
        <v>5697300</v>
      </c>
      <c r="F156" s="43">
        <v>4111</v>
      </c>
      <c r="G156" s="43">
        <v>285719100</v>
      </c>
      <c r="H156" s="43"/>
      <c r="I156" s="43"/>
      <c r="J156" s="43"/>
      <c r="K156" s="43"/>
      <c r="L156" s="43">
        <v>169</v>
      </c>
      <c r="M156" s="43">
        <v>133469300</v>
      </c>
      <c r="N156" s="43">
        <v>142</v>
      </c>
      <c r="O156" s="43">
        <v>36496700</v>
      </c>
      <c r="P156" s="43">
        <v>3</v>
      </c>
      <c r="Q156" s="43">
        <v>1411100</v>
      </c>
      <c r="R156" s="43">
        <v>24</v>
      </c>
      <c r="S156" s="43">
        <v>95561500</v>
      </c>
      <c r="T156" s="44">
        <f t="shared" si="12"/>
        <v>4620</v>
      </c>
      <c r="U156" s="44">
        <f t="shared" si="12"/>
        <v>424885700</v>
      </c>
      <c r="V156" s="45">
        <f t="shared" si="13"/>
        <v>0.6724610877701932</v>
      </c>
      <c r="W156" s="44">
        <f t="shared" si="14"/>
        <v>4111</v>
      </c>
      <c r="X156" s="44">
        <f t="shared" si="15"/>
        <v>381280600</v>
      </c>
      <c r="Y156" s="43">
        <f t="shared" si="16"/>
        <v>69501.118949160795</v>
      </c>
      <c r="Z156" s="45">
        <f t="shared" si="17"/>
        <v>0.2249110760846976</v>
      </c>
    </row>
    <row r="157" spans="1:26">
      <c r="A157" s="42" t="s">
        <v>386</v>
      </c>
      <c r="B157" s="42" t="s">
        <v>387</v>
      </c>
      <c r="C157" s="42" t="s">
        <v>10</v>
      </c>
      <c r="D157" s="43">
        <v>125</v>
      </c>
      <c r="E157" s="43">
        <v>3669300</v>
      </c>
      <c r="F157" s="43">
        <v>1424</v>
      </c>
      <c r="G157" s="43">
        <v>129499600</v>
      </c>
      <c r="H157" s="43"/>
      <c r="I157" s="43"/>
      <c r="J157" s="43"/>
      <c r="K157" s="43"/>
      <c r="L157" s="43">
        <v>77</v>
      </c>
      <c r="M157" s="43">
        <v>27213100</v>
      </c>
      <c r="N157" s="43">
        <v>69</v>
      </c>
      <c r="O157" s="43">
        <v>15631600</v>
      </c>
      <c r="P157" s="43">
        <v>3</v>
      </c>
      <c r="Q157" s="43">
        <v>4635600</v>
      </c>
      <c r="R157" s="43">
        <v>5</v>
      </c>
      <c r="S157" s="43">
        <v>6945900</v>
      </c>
      <c r="T157" s="44">
        <f t="shared" si="12"/>
        <v>1626</v>
      </c>
      <c r="U157" s="44">
        <f t="shared" si="12"/>
        <v>160382000</v>
      </c>
      <c r="V157" s="45">
        <f t="shared" si="13"/>
        <v>0.80744472571734982</v>
      </c>
      <c r="W157" s="44">
        <f t="shared" si="14"/>
        <v>1424</v>
      </c>
      <c r="X157" s="44">
        <f t="shared" si="15"/>
        <v>136445500</v>
      </c>
      <c r="Y157" s="43">
        <f t="shared" si="16"/>
        <v>90940.730337078654</v>
      </c>
      <c r="Z157" s="45">
        <f t="shared" si="17"/>
        <v>4.3308476013517727E-2</v>
      </c>
    </row>
    <row r="158" spans="1:26">
      <c r="A158" s="42" t="s">
        <v>388</v>
      </c>
      <c r="B158" s="42" t="s">
        <v>389</v>
      </c>
      <c r="C158" s="42" t="s">
        <v>10</v>
      </c>
      <c r="D158" s="43">
        <v>47</v>
      </c>
      <c r="E158" s="43">
        <v>540600</v>
      </c>
      <c r="F158" s="43">
        <v>1083</v>
      </c>
      <c r="G158" s="43">
        <v>132375500</v>
      </c>
      <c r="H158" s="43"/>
      <c r="I158" s="43"/>
      <c r="J158" s="43"/>
      <c r="K158" s="43"/>
      <c r="L158" s="43">
        <v>108</v>
      </c>
      <c r="M158" s="43">
        <v>24977900</v>
      </c>
      <c r="N158" s="43">
        <v>83</v>
      </c>
      <c r="O158" s="43">
        <v>16162200</v>
      </c>
      <c r="P158" s="43"/>
      <c r="Q158" s="43"/>
      <c r="R158" s="43">
        <v>25</v>
      </c>
      <c r="S158" s="43">
        <v>8815700</v>
      </c>
      <c r="T158" s="44">
        <f t="shared" si="12"/>
        <v>1238</v>
      </c>
      <c r="U158" s="44">
        <f t="shared" si="12"/>
        <v>157894000</v>
      </c>
      <c r="V158" s="45">
        <f t="shared" si="13"/>
        <v>0.83838207911636919</v>
      </c>
      <c r="W158" s="44">
        <f t="shared" si="14"/>
        <v>1083</v>
      </c>
      <c r="X158" s="44">
        <f t="shared" si="15"/>
        <v>141191200</v>
      </c>
      <c r="Y158" s="43">
        <f t="shared" si="16"/>
        <v>122230.37857802401</v>
      </c>
      <c r="Z158" s="45">
        <f t="shared" si="17"/>
        <v>5.5833027220793696E-2</v>
      </c>
    </row>
    <row r="159" spans="1:26">
      <c r="A159" s="42" t="s">
        <v>390</v>
      </c>
      <c r="B159" s="42" t="s">
        <v>391</v>
      </c>
      <c r="C159" s="42" t="s">
        <v>10</v>
      </c>
      <c r="D159" s="43">
        <v>76</v>
      </c>
      <c r="E159" s="43">
        <v>3482600</v>
      </c>
      <c r="F159" s="43">
        <v>1584</v>
      </c>
      <c r="G159" s="43">
        <v>145833300</v>
      </c>
      <c r="H159" s="43"/>
      <c r="I159" s="43"/>
      <c r="J159" s="43"/>
      <c r="K159" s="43"/>
      <c r="L159" s="43">
        <v>98</v>
      </c>
      <c r="M159" s="43">
        <v>24380200</v>
      </c>
      <c r="N159" s="43">
        <v>87</v>
      </c>
      <c r="O159" s="43">
        <v>20295700</v>
      </c>
      <c r="P159" s="43">
        <v>3</v>
      </c>
      <c r="Q159" s="43">
        <v>741200</v>
      </c>
      <c r="R159" s="43">
        <v>8</v>
      </c>
      <c r="S159" s="43">
        <v>3343300</v>
      </c>
      <c r="T159" s="44">
        <f t="shared" si="12"/>
        <v>1758</v>
      </c>
      <c r="U159" s="44">
        <f t="shared" si="12"/>
        <v>173696100</v>
      </c>
      <c r="V159" s="45">
        <f t="shared" si="13"/>
        <v>0.83958879905766448</v>
      </c>
      <c r="W159" s="44">
        <f t="shared" si="14"/>
        <v>1584</v>
      </c>
      <c r="X159" s="44">
        <f t="shared" si="15"/>
        <v>149176600</v>
      </c>
      <c r="Y159" s="43">
        <f t="shared" si="16"/>
        <v>92066.477272727279</v>
      </c>
      <c r="Z159" s="45">
        <f t="shared" si="17"/>
        <v>1.9247985418210312E-2</v>
      </c>
    </row>
    <row r="160" spans="1:26">
      <c r="A160" s="42" t="s">
        <v>392</v>
      </c>
      <c r="B160" s="42" t="s">
        <v>393</v>
      </c>
      <c r="C160" s="42" t="s">
        <v>10</v>
      </c>
      <c r="D160" s="43">
        <v>18</v>
      </c>
      <c r="E160" s="43">
        <v>1086000</v>
      </c>
      <c r="F160" s="43">
        <v>1339</v>
      </c>
      <c r="G160" s="43">
        <v>135022000</v>
      </c>
      <c r="H160" s="43"/>
      <c r="I160" s="43"/>
      <c r="J160" s="43"/>
      <c r="K160" s="43"/>
      <c r="L160" s="43">
        <v>95</v>
      </c>
      <c r="M160" s="43">
        <v>24465800</v>
      </c>
      <c r="N160" s="43">
        <v>75</v>
      </c>
      <c r="O160" s="43">
        <v>16266300</v>
      </c>
      <c r="P160" s="43">
        <v>1</v>
      </c>
      <c r="Q160" s="43">
        <v>169000</v>
      </c>
      <c r="R160" s="43">
        <v>19</v>
      </c>
      <c r="S160" s="43">
        <v>8030500</v>
      </c>
      <c r="T160" s="44">
        <f t="shared" si="12"/>
        <v>1452</v>
      </c>
      <c r="U160" s="44">
        <f t="shared" si="12"/>
        <v>160573800</v>
      </c>
      <c r="V160" s="45">
        <f t="shared" si="13"/>
        <v>0.84087192306590486</v>
      </c>
      <c r="W160" s="44">
        <f t="shared" si="14"/>
        <v>1339</v>
      </c>
      <c r="X160" s="44">
        <f t="shared" si="15"/>
        <v>143052500</v>
      </c>
      <c r="Y160" s="43">
        <f t="shared" si="16"/>
        <v>100837.93876026885</v>
      </c>
      <c r="Z160" s="45">
        <f t="shared" si="17"/>
        <v>5.001127207551917E-2</v>
      </c>
    </row>
    <row r="161" spans="1:26">
      <c r="A161" s="42" t="s">
        <v>394</v>
      </c>
      <c r="B161" s="42" t="s">
        <v>395</v>
      </c>
      <c r="C161" s="42" t="s">
        <v>10</v>
      </c>
      <c r="D161" s="43">
        <v>317</v>
      </c>
      <c r="E161" s="43">
        <v>16499500</v>
      </c>
      <c r="F161" s="43">
        <v>10990</v>
      </c>
      <c r="G161" s="43">
        <v>989074800</v>
      </c>
      <c r="H161" s="43"/>
      <c r="I161" s="43"/>
      <c r="J161" s="43"/>
      <c r="K161" s="43"/>
      <c r="L161" s="43">
        <v>880</v>
      </c>
      <c r="M161" s="43">
        <v>601965100</v>
      </c>
      <c r="N161" s="43">
        <v>780</v>
      </c>
      <c r="O161" s="43">
        <v>459986200</v>
      </c>
      <c r="P161" s="43">
        <v>52</v>
      </c>
      <c r="Q161" s="43">
        <v>119667000</v>
      </c>
      <c r="R161" s="43">
        <v>48</v>
      </c>
      <c r="S161" s="43">
        <v>22311900</v>
      </c>
      <c r="T161" s="44">
        <f t="shared" si="12"/>
        <v>12187</v>
      </c>
      <c r="U161" s="44">
        <f t="shared" si="12"/>
        <v>1607539400</v>
      </c>
      <c r="V161" s="45">
        <f t="shared" si="13"/>
        <v>0.61527250902839459</v>
      </c>
      <c r="W161" s="44">
        <f t="shared" si="14"/>
        <v>10990</v>
      </c>
      <c r="X161" s="44">
        <f t="shared" si="15"/>
        <v>1011386700</v>
      </c>
      <c r="Y161" s="43">
        <f t="shared" si="16"/>
        <v>89997.707006369426</v>
      </c>
      <c r="Z161" s="45">
        <f t="shared" si="17"/>
        <v>1.3879535394280227E-2</v>
      </c>
    </row>
    <row r="162" spans="1:26">
      <c r="A162" s="42" t="s">
        <v>396</v>
      </c>
      <c r="B162" s="42" t="s">
        <v>397</v>
      </c>
      <c r="C162" s="42" t="s">
        <v>10</v>
      </c>
      <c r="D162" s="43">
        <v>275</v>
      </c>
      <c r="E162" s="43">
        <v>8189500</v>
      </c>
      <c r="F162" s="43">
        <v>3018</v>
      </c>
      <c r="G162" s="43">
        <v>244839400</v>
      </c>
      <c r="H162" s="43">
        <v>6</v>
      </c>
      <c r="I162" s="43">
        <v>922700</v>
      </c>
      <c r="J162" s="43">
        <v>12</v>
      </c>
      <c r="K162" s="43">
        <v>37800</v>
      </c>
      <c r="L162" s="43">
        <v>56</v>
      </c>
      <c r="M162" s="43">
        <v>21651200</v>
      </c>
      <c r="N162" s="43">
        <v>48</v>
      </c>
      <c r="O162" s="43">
        <v>7667600</v>
      </c>
      <c r="P162" s="43">
        <v>2</v>
      </c>
      <c r="Q162" s="43">
        <v>694700</v>
      </c>
      <c r="R162" s="43">
        <v>6</v>
      </c>
      <c r="S162" s="43">
        <v>13288900</v>
      </c>
      <c r="T162" s="44">
        <f t="shared" si="12"/>
        <v>3367</v>
      </c>
      <c r="U162" s="44">
        <f t="shared" si="12"/>
        <v>275640600</v>
      </c>
      <c r="V162" s="45">
        <f t="shared" si="13"/>
        <v>0.8916034140108533</v>
      </c>
      <c r="W162" s="44">
        <f t="shared" si="14"/>
        <v>3024</v>
      </c>
      <c r="X162" s="44">
        <f t="shared" si="15"/>
        <v>259051000</v>
      </c>
      <c r="Y162" s="43">
        <f t="shared" si="16"/>
        <v>81270.53571428571</v>
      </c>
      <c r="Z162" s="45">
        <f t="shared" si="17"/>
        <v>4.8210967469959072E-2</v>
      </c>
    </row>
    <row r="163" spans="1:26">
      <c r="A163" s="42" t="s">
        <v>398</v>
      </c>
      <c r="B163" s="42" t="s">
        <v>399</v>
      </c>
      <c r="C163" s="42" t="s">
        <v>10</v>
      </c>
      <c r="D163" s="43">
        <v>6</v>
      </c>
      <c r="E163" s="43">
        <v>4326700</v>
      </c>
      <c r="F163" s="43">
        <v>23</v>
      </c>
      <c r="G163" s="43">
        <v>9340400</v>
      </c>
      <c r="H163" s="43"/>
      <c r="I163" s="43"/>
      <c r="J163" s="43"/>
      <c r="K163" s="43"/>
      <c r="L163" s="43">
        <v>16</v>
      </c>
      <c r="M163" s="43">
        <v>25085700</v>
      </c>
      <c r="N163" s="43">
        <v>16</v>
      </c>
      <c r="O163" s="43">
        <v>25085700</v>
      </c>
      <c r="P163" s="43"/>
      <c r="Q163" s="43"/>
      <c r="R163" s="43"/>
      <c r="S163" s="43"/>
      <c r="T163" s="44">
        <f t="shared" si="12"/>
        <v>45</v>
      </c>
      <c r="U163" s="44">
        <f t="shared" si="12"/>
        <v>38752800</v>
      </c>
      <c r="V163" s="45">
        <f t="shared" si="13"/>
        <v>0.2410251646332652</v>
      </c>
      <c r="W163" s="44">
        <f t="shared" si="14"/>
        <v>23</v>
      </c>
      <c r="X163" s="44">
        <f t="shared" si="15"/>
        <v>9340400</v>
      </c>
      <c r="Y163" s="43">
        <f t="shared" si="16"/>
        <v>406104.34782608697</v>
      </c>
      <c r="Z163" s="45">
        <f t="shared" si="17"/>
        <v>0</v>
      </c>
    </row>
    <row r="164" spans="1:26">
      <c r="A164" s="42" t="s">
        <v>400</v>
      </c>
      <c r="B164" s="42" t="s">
        <v>401</v>
      </c>
      <c r="C164" s="42" t="s">
        <v>10</v>
      </c>
      <c r="D164" s="43">
        <v>88</v>
      </c>
      <c r="E164" s="43">
        <v>2952100</v>
      </c>
      <c r="F164" s="43">
        <v>2599</v>
      </c>
      <c r="G164" s="43">
        <v>257174700</v>
      </c>
      <c r="H164" s="43"/>
      <c r="I164" s="43"/>
      <c r="J164" s="43"/>
      <c r="K164" s="43"/>
      <c r="L164" s="43">
        <v>185</v>
      </c>
      <c r="M164" s="43">
        <v>76691900</v>
      </c>
      <c r="N164" s="43">
        <v>151</v>
      </c>
      <c r="O164" s="43">
        <v>45644500</v>
      </c>
      <c r="P164" s="43">
        <v>13</v>
      </c>
      <c r="Q164" s="43">
        <v>12749700</v>
      </c>
      <c r="R164" s="43">
        <v>21</v>
      </c>
      <c r="S164" s="43">
        <v>18297700</v>
      </c>
      <c r="T164" s="44">
        <f t="shared" si="12"/>
        <v>2872</v>
      </c>
      <c r="U164" s="44">
        <f t="shared" si="12"/>
        <v>336818700</v>
      </c>
      <c r="V164" s="45">
        <f t="shared" si="13"/>
        <v>0.76354044475559102</v>
      </c>
      <c r="W164" s="44">
        <f t="shared" si="14"/>
        <v>2599</v>
      </c>
      <c r="X164" s="44">
        <f t="shared" si="15"/>
        <v>275472400</v>
      </c>
      <c r="Y164" s="43">
        <f t="shared" si="16"/>
        <v>98951.404386302427</v>
      </c>
      <c r="Z164" s="45">
        <f t="shared" si="17"/>
        <v>5.4325071618648253E-2</v>
      </c>
    </row>
    <row r="165" spans="1:26">
      <c r="A165" s="42" t="s">
        <v>402</v>
      </c>
      <c r="B165" s="42" t="s">
        <v>403</v>
      </c>
      <c r="C165" s="42" t="s">
        <v>10</v>
      </c>
      <c r="D165" s="43">
        <v>95</v>
      </c>
      <c r="E165" s="43">
        <v>1852800</v>
      </c>
      <c r="F165" s="43">
        <v>1686</v>
      </c>
      <c r="G165" s="43">
        <v>148046400</v>
      </c>
      <c r="H165" s="43"/>
      <c r="I165" s="43"/>
      <c r="J165" s="43"/>
      <c r="K165" s="43"/>
      <c r="L165" s="43">
        <v>158</v>
      </c>
      <c r="M165" s="43">
        <v>42790900</v>
      </c>
      <c r="N165" s="43">
        <v>122</v>
      </c>
      <c r="O165" s="43">
        <v>27557800</v>
      </c>
      <c r="P165" s="43">
        <v>29</v>
      </c>
      <c r="Q165" s="43">
        <v>8351300</v>
      </c>
      <c r="R165" s="43">
        <v>7</v>
      </c>
      <c r="S165" s="43">
        <v>6881800</v>
      </c>
      <c r="T165" s="44">
        <f t="shared" si="12"/>
        <v>1939</v>
      </c>
      <c r="U165" s="44">
        <f t="shared" si="12"/>
        <v>192690100</v>
      </c>
      <c r="V165" s="45">
        <f t="shared" si="13"/>
        <v>0.76831347329208921</v>
      </c>
      <c r="W165" s="44">
        <f t="shared" si="14"/>
        <v>1686</v>
      </c>
      <c r="X165" s="44">
        <f t="shared" si="15"/>
        <v>154928200</v>
      </c>
      <c r="Y165" s="43">
        <f t="shared" si="16"/>
        <v>87809.252669039139</v>
      </c>
      <c r="Z165" s="45">
        <f t="shared" si="17"/>
        <v>3.5714341318002329E-2</v>
      </c>
    </row>
    <row r="166" spans="1:26">
      <c r="A166" s="42" t="s">
        <v>404</v>
      </c>
      <c r="B166" s="42" t="s">
        <v>405</v>
      </c>
      <c r="C166" s="42" t="s">
        <v>10</v>
      </c>
      <c r="D166" s="43">
        <v>34</v>
      </c>
      <c r="E166" s="43">
        <v>1102000</v>
      </c>
      <c r="F166" s="43">
        <v>2118</v>
      </c>
      <c r="G166" s="43">
        <v>223214100</v>
      </c>
      <c r="H166" s="43"/>
      <c r="I166" s="43"/>
      <c r="J166" s="43"/>
      <c r="K166" s="43"/>
      <c r="L166" s="43">
        <v>116</v>
      </c>
      <c r="M166" s="43">
        <v>62012500</v>
      </c>
      <c r="N166" s="43">
        <v>105</v>
      </c>
      <c r="O166" s="43">
        <v>50293300</v>
      </c>
      <c r="P166" s="43"/>
      <c r="Q166" s="43"/>
      <c r="R166" s="43">
        <v>11</v>
      </c>
      <c r="S166" s="43">
        <v>11719200</v>
      </c>
      <c r="T166" s="44">
        <f t="shared" si="12"/>
        <v>2268</v>
      </c>
      <c r="U166" s="44">
        <f t="shared" si="12"/>
        <v>286328600</v>
      </c>
      <c r="V166" s="45">
        <f t="shared" si="13"/>
        <v>0.77957318968485856</v>
      </c>
      <c r="W166" s="44">
        <f t="shared" si="14"/>
        <v>2118</v>
      </c>
      <c r="X166" s="44">
        <f t="shared" si="15"/>
        <v>234933300</v>
      </c>
      <c r="Y166" s="43">
        <f t="shared" si="16"/>
        <v>105389.09348441927</v>
      </c>
      <c r="Z166" s="45">
        <f t="shared" si="17"/>
        <v>4.0929198131098327E-2</v>
      </c>
    </row>
    <row r="167" spans="1:26">
      <c r="A167" s="42" t="s">
        <v>406</v>
      </c>
      <c r="B167" s="42" t="s">
        <v>407</v>
      </c>
      <c r="C167" s="42" t="s">
        <v>10</v>
      </c>
      <c r="D167" s="43"/>
      <c r="E167" s="43"/>
      <c r="F167" s="43">
        <v>3</v>
      </c>
      <c r="G167" s="43">
        <v>4550000</v>
      </c>
      <c r="H167" s="43"/>
      <c r="I167" s="43"/>
      <c r="J167" s="43"/>
      <c r="K167" s="43"/>
      <c r="L167" s="43">
        <v>2</v>
      </c>
      <c r="M167" s="43">
        <v>12005200</v>
      </c>
      <c r="N167" s="43">
        <v>2</v>
      </c>
      <c r="O167" s="43">
        <v>12005200</v>
      </c>
      <c r="P167" s="43"/>
      <c r="Q167" s="43"/>
      <c r="R167" s="43"/>
      <c r="S167" s="43"/>
      <c r="T167" s="44">
        <f t="shared" si="12"/>
        <v>5</v>
      </c>
      <c r="U167" s="44">
        <f t="shared" si="12"/>
        <v>16555200</v>
      </c>
      <c r="V167" s="45">
        <f t="shared" si="13"/>
        <v>0.27483811732869429</v>
      </c>
      <c r="W167" s="44">
        <f t="shared" si="14"/>
        <v>3</v>
      </c>
      <c r="X167" s="44">
        <f t="shared" si="15"/>
        <v>4550000</v>
      </c>
      <c r="Y167" s="43">
        <f t="shared" si="16"/>
        <v>1516666.6666666667</v>
      </c>
      <c r="Z167" s="45">
        <f t="shared" si="17"/>
        <v>0</v>
      </c>
    </row>
    <row r="168" spans="1:26">
      <c r="A168" s="42" t="s">
        <v>408</v>
      </c>
      <c r="B168" s="42" t="s">
        <v>409</v>
      </c>
      <c r="C168" s="42" t="s">
        <v>10</v>
      </c>
      <c r="D168" s="43">
        <v>447</v>
      </c>
      <c r="E168" s="43">
        <v>100398023</v>
      </c>
      <c r="F168" s="43">
        <v>8575</v>
      </c>
      <c r="G168" s="43">
        <v>2920933820</v>
      </c>
      <c r="H168" s="43">
        <v>7</v>
      </c>
      <c r="I168" s="43">
        <v>2336600</v>
      </c>
      <c r="J168" s="43">
        <v>12</v>
      </c>
      <c r="K168" s="43">
        <v>78500</v>
      </c>
      <c r="L168" s="43">
        <v>526</v>
      </c>
      <c r="M168" s="43">
        <v>849931200</v>
      </c>
      <c r="N168" s="43">
        <v>481</v>
      </c>
      <c r="O168" s="43">
        <v>683226500</v>
      </c>
      <c r="P168" s="43">
        <v>28</v>
      </c>
      <c r="Q168" s="43">
        <v>38674400</v>
      </c>
      <c r="R168" s="43">
        <v>17</v>
      </c>
      <c r="S168" s="43">
        <v>128030300</v>
      </c>
      <c r="T168" s="44">
        <f t="shared" si="12"/>
        <v>9567</v>
      </c>
      <c r="U168" s="44">
        <f t="shared" si="12"/>
        <v>3873678143</v>
      </c>
      <c r="V168" s="45">
        <f t="shared" si="13"/>
        <v>0.75464979590071224</v>
      </c>
      <c r="W168" s="44">
        <f t="shared" si="14"/>
        <v>8582</v>
      </c>
      <c r="X168" s="44">
        <f t="shared" si="15"/>
        <v>3051300720</v>
      </c>
      <c r="Y168" s="43">
        <f t="shared" si="16"/>
        <v>340628.10766721045</v>
      </c>
      <c r="Z168" s="45">
        <f t="shared" si="17"/>
        <v>3.3051352041562738E-2</v>
      </c>
    </row>
    <row r="169" spans="1:26">
      <c r="A169" s="42" t="s">
        <v>410</v>
      </c>
      <c r="B169" s="42" t="s">
        <v>411</v>
      </c>
      <c r="C169" s="42" t="s">
        <v>10</v>
      </c>
      <c r="D169" s="43">
        <v>509</v>
      </c>
      <c r="E169" s="43">
        <v>11286600</v>
      </c>
      <c r="F169" s="43">
        <v>3540</v>
      </c>
      <c r="G169" s="43">
        <v>405205800</v>
      </c>
      <c r="H169" s="43">
        <v>83</v>
      </c>
      <c r="I169" s="43">
        <v>12092600</v>
      </c>
      <c r="J169" s="43">
        <v>205</v>
      </c>
      <c r="K169" s="43">
        <v>1528400</v>
      </c>
      <c r="L169" s="43">
        <v>132</v>
      </c>
      <c r="M169" s="43">
        <v>40700200</v>
      </c>
      <c r="N169" s="43">
        <v>122</v>
      </c>
      <c r="O169" s="43">
        <v>37079900</v>
      </c>
      <c r="P169" s="43">
        <v>5</v>
      </c>
      <c r="Q169" s="43">
        <v>1225400</v>
      </c>
      <c r="R169" s="43">
        <v>5</v>
      </c>
      <c r="S169" s="43">
        <v>2394900</v>
      </c>
      <c r="T169" s="44">
        <f t="shared" si="12"/>
        <v>4469</v>
      </c>
      <c r="U169" s="44">
        <f t="shared" si="12"/>
        <v>470813600</v>
      </c>
      <c r="V169" s="45">
        <f t="shared" si="13"/>
        <v>0.88633463434361281</v>
      </c>
      <c r="W169" s="44">
        <f t="shared" si="14"/>
        <v>3623</v>
      </c>
      <c r="X169" s="44">
        <f t="shared" si="15"/>
        <v>419693300</v>
      </c>
      <c r="Y169" s="43">
        <f t="shared" si="16"/>
        <v>115180.34777808446</v>
      </c>
      <c r="Z169" s="45">
        <f t="shared" si="17"/>
        <v>5.0867264666950998E-3</v>
      </c>
    </row>
    <row r="170" spans="1:26">
      <c r="A170" s="42" t="s">
        <v>412</v>
      </c>
      <c r="B170" s="42" t="s">
        <v>413</v>
      </c>
      <c r="C170" s="42" t="s">
        <v>10</v>
      </c>
      <c r="D170" s="43">
        <v>1848</v>
      </c>
      <c r="E170" s="43">
        <v>36846200</v>
      </c>
      <c r="F170" s="43">
        <v>12566</v>
      </c>
      <c r="G170" s="43">
        <v>1328369500</v>
      </c>
      <c r="H170" s="43">
        <v>210</v>
      </c>
      <c r="I170" s="43">
        <v>21549220</v>
      </c>
      <c r="J170" s="43">
        <v>504</v>
      </c>
      <c r="K170" s="43">
        <v>4238600</v>
      </c>
      <c r="L170" s="43">
        <v>352</v>
      </c>
      <c r="M170" s="43">
        <v>143868950</v>
      </c>
      <c r="N170" s="43">
        <v>311</v>
      </c>
      <c r="O170" s="43">
        <v>92319950</v>
      </c>
      <c r="P170" s="43">
        <v>15</v>
      </c>
      <c r="Q170" s="43">
        <v>19973900</v>
      </c>
      <c r="R170" s="43">
        <v>26</v>
      </c>
      <c r="S170" s="43">
        <v>31575100</v>
      </c>
      <c r="T170" s="44">
        <f t="shared" si="12"/>
        <v>15480</v>
      </c>
      <c r="U170" s="44">
        <f t="shared" si="12"/>
        <v>1534872470</v>
      </c>
      <c r="V170" s="45">
        <f t="shared" si="13"/>
        <v>0.87949894625447289</v>
      </c>
      <c r="W170" s="44">
        <f t="shared" si="14"/>
        <v>12776</v>
      </c>
      <c r="X170" s="44">
        <f t="shared" si="15"/>
        <v>1381493820</v>
      </c>
      <c r="Y170" s="43">
        <f t="shared" si="16"/>
        <v>105660.51346274265</v>
      </c>
      <c r="Z170" s="45">
        <f t="shared" si="17"/>
        <v>2.0571806855067248E-2</v>
      </c>
    </row>
    <row r="171" spans="1:26">
      <c r="A171" s="42" t="s">
        <v>414</v>
      </c>
      <c r="B171" s="42" t="s">
        <v>415</v>
      </c>
      <c r="C171" s="42" t="s">
        <v>10</v>
      </c>
      <c r="D171" s="43">
        <v>18</v>
      </c>
      <c r="E171" s="43">
        <v>298800</v>
      </c>
      <c r="F171" s="43">
        <v>876</v>
      </c>
      <c r="G171" s="43">
        <v>45579400</v>
      </c>
      <c r="H171" s="43"/>
      <c r="I171" s="43"/>
      <c r="J171" s="43"/>
      <c r="K171" s="43"/>
      <c r="L171" s="43">
        <v>37</v>
      </c>
      <c r="M171" s="43">
        <v>4513450</v>
      </c>
      <c r="N171" s="43">
        <v>30</v>
      </c>
      <c r="O171" s="43">
        <v>3782550</v>
      </c>
      <c r="P171" s="43"/>
      <c r="Q171" s="43"/>
      <c r="R171" s="43">
        <v>7</v>
      </c>
      <c r="S171" s="43">
        <v>730900</v>
      </c>
      <c r="T171" s="44">
        <f t="shared" si="12"/>
        <v>931</v>
      </c>
      <c r="U171" s="44">
        <f t="shared" si="12"/>
        <v>50391650</v>
      </c>
      <c r="V171" s="45">
        <f t="shared" si="13"/>
        <v>0.90450302778337288</v>
      </c>
      <c r="W171" s="44">
        <f t="shared" si="14"/>
        <v>876</v>
      </c>
      <c r="X171" s="44">
        <f t="shared" si="15"/>
        <v>46310300</v>
      </c>
      <c r="Y171" s="43">
        <f t="shared" si="16"/>
        <v>52031.278538812789</v>
      </c>
      <c r="Z171" s="45">
        <f t="shared" si="17"/>
        <v>1.4504387135567103E-2</v>
      </c>
    </row>
    <row r="172" spans="1:26">
      <c r="A172" s="42" t="s">
        <v>416</v>
      </c>
      <c r="B172" s="42" t="s">
        <v>417</v>
      </c>
      <c r="C172" s="42" t="s">
        <v>11</v>
      </c>
      <c r="D172" s="43">
        <v>216</v>
      </c>
      <c r="E172" s="43">
        <v>289371000</v>
      </c>
      <c r="F172" s="43">
        <v>5183</v>
      </c>
      <c r="G172" s="43">
        <v>8227657900</v>
      </c>
      <c r="H172" s="43"/>
      <c r="I172" s="43"/>
      <c r="J172" s="43"/>
      <c r="K172" s="43"/>
      <c r="L172" s="43">
        <v>146</v>
      </c>
      <c r="M172" s="43">
        <v>185516800</v>
      </c>
      <c r="N172" s="43">
        <v>146</v>
      </c>
      <c r="O172" s="43">
        <v>185516800</v>
      </c>
      <c r="P172" s="43"/>
      <c r="Q172" s="43"/>
      <c r="R172" s="43"/>
      <c r="S172" s="43"/>
      <c r="T172" s="44">
        <f t="shared" si="12"/>
        <v>5545</v>
      </c>
      <c r="U172" s="44">
        <f t="shared" si="12"/>
        <v>8702545700</v>
      </c>
      <c r="V172" s="45">
        <f t="shared" si="13"/>
        <v>0.94543116274586181</v>
      </c>
      <c r="W172" s="44">
        <f t="shared" si="14"/>
        <v>5183</v>
      </c>
      <c r="X172" s="44">
        <f t="shared" si="15"/>
        <v>8227657900</v>
      </c>
      <c r="Y172" s="43">
        <f t="shared" si="16"/>
        <v>1587431.5840246961</v>
      </c>
      <c r="Z172" s="45">
        <f t="shared" si="17"/>
        <v>0</v>
      </c>
    </row>
    <row r="173" spans="1:26">
      <c r="A173" s="42" t="s">
        <v>418</v>
      </c>
      <c r="B173" s="42" t="s">
        <v>419</v>
      </c>
      <c r="C173" s="42" t="s">
        <v>11</v>
      </c>
      <c r="D173" s="43">
        <v>163</v>
      </c>
      <c r="E173" s="43">
        <v>44015600</v>
      </c>
      <c r="F173" s="43">
        <v>3320</v>
      </c>
      <c r="G173" s="43">
        <v>1693490500</v>
      </c>
      <c r="H173" s="43"/>
      <c r="I173" s="43"/>
      <c r="J173" s="43"/>
      <c r="K173" s="43"/>
      <c r="L173" s="43">
        <v>395</v>
      </c>
      <c r="M173" s="43">
        <v>476690500</v>
      </c>
      <c r="N173" s="43">
        <v>273</v>
      </c>
      <c r="O173" s="43">
        <v>350790200</v>
      </c>
      <c r="P173" s="43"/>
      <c r="Q173" s="43"/>
      <c r="R173" s="43">
        <v>122</v>
      </c>
      <c r="S173" s="43">
        <v>125900300</v>
      </c>
      <c r="T173" s="44">
        <f t="shared" si="12"/>
        <v>3878</v>
      </c>
      <c r="U173" s="44">
        <f t="shared" si="12"/>
        <v>2214196600</v>
      </c>
      <c r="V173" s="45">
        <f t="shared" si="13"/>
        <v>0.76483294211543817</v>
      </c>
      <c r="W173" s="44">
        <f t="shared" si="14"/>
        <v>3320</v>
      </c>
      <c r="X173" s="44">
        <f t="shared" si="15"/>
        <v>1819390800</v>
      </c>
      <c r="Y173" s="43">
        <f t="shared" si="16"/>
        <v>510087.5</v>
      </c>
      <c r="Z173" s="45">
        <f t="shared" si="17"/>
        <v>5.6860488359525077E-2</v>
      </c>
    </row>
    <row r="174" spans="1:26">
      <c r="A174" s="42" t="s">
        <v>420</v>
      </c>
      <c r="B174" s="42" t="s">
        <v>421</v>
      </c>
      <c r="C174" s="42" t="s">
        <v>11</v>
      </c>
      <c r="D174" s="43">
        <v>66</v>
      </c>
      <c r="E174" s="43">
        <v>18369100</v>
      </c>
      <c r="F174" s="43">
        <v>603</v>
      </c>
      <c r="G174" s="43">
        <v>268016400</v>
      </c>
      <c r="H174" s="43"/>
      <c r="I174" s="43"/>
      <c r="J174" s="43"/>
      <c r="K174" s="43"/>
      <c r="L174" s="43">
        <v>1</v>
      </c>
      <c r="M174" s="43">
        <v>410100</v>
      </c>
      <c r="N174" s="43">
        <v>1</v>
      </c>
      <c r="O174" s="43">
        <v>410100</v>
      </c>
      <c r="P174" s="43"/>
      <c r="Q174" s="43"/>
      <c r="R174" s="43"/>
      <c r="S174" s="43"/>
      <c r="T174" s="44">
        <f t="shared" si="12"/>
        <v>670</v>
      </c>
      <c r="U174" s="44">
        <f t="shared" si="12"/>
        <v>286795600</v>
      </c>
      <c r="V174" s="45">
        <f t="shared" si="13"/>
        <v>0.93452061328695424</v>
      </c>
      <c r="W174" s="44">
        <f t="shared" si="14"/>
        <v>603</v>
      </c>
      <c r="X174" s="44">
        <f t="shared" si="15"/>
        <v>268016400</v>
      </c>
      <c r="Y174" s="43">
        <f t="shared" si="16"/>
        <v>444471.64179104479</v>
      </c>
      <c r="Z174" s="45">
        <f t="shared" si="17"/>
        <v>0</v>
      </c>
    </row>
    <row r="175" spans="1:26">
      <c r="A175" s="42" t="s">
        <v>422</v>
      </c>
      <c r="B175" s="42" t="s">
        <v>423</v>
      </c>
      <c r="C175" s="42" t="s">
        <v>11</v>
      </c>
      <c r="D175" s="43">
        <v>597</v>
      </c>
      <c r="E175" s="43">
        <v>63876400</v>
      </c>
      <c r="F175" s="43">
        <v>3496</v>
      </c>
      <c r="G175" s="43">
        <v>816253600</v>
      </c>
      <c r="H175" s="43">
        <v>62</v>
      </c>
      <c r="I175" s="43">
        <v>17129200</v>
      </c>
      <c r="J175" s="43">
        <v>205</v>
      </c>
      <c r="K175" s="43">
        <v>1579900</v>
      </c>
      <c r="L175" s="43">
        <v>176</v>
      </c>
      <c r="M175" s="43">
        <v>142283700</v>
      </c>
      <c r="N175" s="43">
        <v>176</v>
      </c>
      <c r="O175" s="43">
        <v>142283700</v>
      </c>
      <c r="P175" s="43"/>
      <c r="Q175" s="43"/>
      <c r="R175" s="43"/>
      <c r="S175" s="43"/>
      <c r="T175" s="44">
        <f t="shared" si="12"/>
        <v>4536</v>
      </c>
      <c r="U175" s="44">
        <f t="shared" si="12"/>
        <v>1041122800</v>
      </c>
      <c r="V175" s="45">
        <f t="shared" si="13"/>
        <v>0.80046542060168113</v>
      </c>
      <c r="W175" s="44">
        <f t="shared" si="14"/>
        <v>3558</v>
      </c>
      <c r="X175" s="44">
        <f t="shared" si="15"/>
        <v>833382800</v>
      </c>
      <c r="Y175" s="43">
        <f t="shared" si="16"/>
        <v>234227.88083192805</v>
      </c>
      <c r="Z175" s="45">
        <f t="shared" si="17"/>
        <v>0</v>
      </c>
    </row>
    <row r="176" spans="1:26">
      <c r="A176" s="42" t="s">
        <v>424</v>
      </c>
      <c r="B176" s="42" t="s">
        <v>425</v>
      </c>
      <c r="C176" s="42" t="s">
        <v>11</v>
      </c>
      <c r="D176" s="43">
        <v>826</v>
      </c>
      <c r="E176" s="43">
        <v>133431600</v>
      </c>
      <c r="F176" s="43">
        <v>13966</v>
      </c>
      <c r="G176" s="43">
        <v>4217537900</v>
      </c>
      <c r="H176" s="43">
        <v>20</v>
      </c>
      <c r="I176" s="43">
        <v>9472800</v>
      </c>
      <c r="J176" s="43">
        <v>81</v>
      </c>
      <c r="K176" s="43">
        <v>1092000</v>
      </c>
      <c r="L176" s="43">
        <v>348</v>
      </c>
      <c r="M176" s="43">
        <v>323106300</v>
      </c>
      <c r="N176" s="43">
        <v>344</v>
      </c>
      <c r="O176" s="43">
        <v>309843800</v>
      </c>
      <c r="P176" s="43"/>
      <c r="Q176" s="43"/>
      <c r="R176" s="43">
        <v>4</v>
      </c>
      <c r="S176" s="43">
        <v>13262500</v>
      </c>
      <c r="T176" s="44">
        <f t="shared" si="12"/>
        <v>15241</v>
      </c>
      <c r="U176" s="44">
        <f t="shared" si="12"/>
        <v>4684640600</v>
      </c>
      <c r="V176" s="45">
        <f t="shared" si="13"/>
        <v>0.90231269822491822</v>
      </c>
      <c r="W176" s="44">
        <f t="shared" si="14"/>
        <v>13986</v>
      </c>
      <c r="X176" s="44">
        <f t="shared" si="15"/>
        <v>4240273200</v>
      </c>
      <c r="Y176" s="43">
        <f t="shared" si="16"/>
        <v>302231.56728156726</v>
      </c>
      <c r="Z176" s="45">
        <f t="shared" si="17"/>
        <v>2.8310602952124012E-3</v>
      </c>
    </row>
    <row r="177" spans="1:26">
      <c r="A177" s="42" t="s">
        <v>426</v>
      </c>
      <c r="B177" s="42" t="s">
        <v>427</v>
      </c>
      <c r="C177" s="42" t="s">
        <v>11</v>
      </c>
      <c r="D177" s="43">
        <v>3381</v>
      </c>
      <c r="E177" s="43">
        <v>232712100</v>
      </c>
      <c r="F177" s="43">
        <v>7851</v>
      </c>
      <c r="G177" s="43">
        <v>2352972200</v>
      </c>
      <c r="H177" s="43">
        <v>53</v>
      </c>
      <c r="I177" s="43">
        <v>14983700</v>
      </c>
      <c r="J177" s="43">
        <v>76</v>
      </c>
      <c r="K177" s="43">
        <v>1265500</v>
      </c>
      <c r="L177" s="43">
        <v>539</v>
      </c>
      <c r="M177" s="43">
        <v>635770100</v>
      </c>
      <c r="N177" s="43">
        <v>526</v>
      </c>
      <c r="O177" s="43">
        <v>625096400</v>
      </c>
      <c r="P177" s="43">
        <v>3</v>
      </c>
      <c r="Q177" s="43">
        <v>5362400</v>
      </c>
      <c r="R177" s="43">
        <v>10</v>
      </c>
      <c r="S177" s="43">
        <v>5311300</v>
      </c>
      <c r="T177" s="44">
        <f t="shared" si="12"/>
        <v>11900</v>
      </c>
      <c r="U177" s="44">
        <f t="shared" si="12"/>
        <v>3237703600</v>
      </c>
      <c r="V177" s="45">
        <f t="shared" si="13"/>
        <v>0.73136895545348868</v>
      </c>
      <c r="W177" s="44">
        <f t="shared" si="14"/>
        <v>7904</v>
      </c>
      <c r="X177" s="44">
        <f t="shared" si="15"/>
        <v>2373267200</v>
      </c>
      <c r="Y177" s="43">
        <f t="shared" si="16"/>
        <v>299589.56224696356</v>
      </c>
      <c r="Z177" s="45">
        <f t="shared" si="17"/>
        <v>1.6404528197083883E-3</v>
      </c>
    </row>
    <row r="178" spans="1:26">
      <c r="A178" s="42" t="s">
        <v>428</v>
      </c>
      <c r="B178" s="42" t="s">
        <v>429</v>
      </c>
      <c r="C178" s="42" t="s">
        <v>11</v>
      </c>
      <c r="D178" s="43">
        <v>137</v>
      </c>
      <c r="E178" s="43">
        <v>69472400</v>
      </c>
      <c r="F178" s="43">
        <v>7250</v>
      </c>
      <c r="G178" s="43">
        <v>3042449300</v>
      </c>
      <c r="H178" s="43"/>
      <c r="I178" s="43"/>
      <c r="J178" s="43"/>
      <c r="K178" s="43"/>
      <c r="L178" s="43">
        <v>307</v>
      </c>
      <c r="M178" s="43">
        <v>418737400</v>
      </c>
      <c r="N178" s="43">
        <v>230</v>
      </c>
      <c r="O178" s="43">
        <v>354785300</v>
      </c>
      <c r="P178" s="43"/>
      <c r="Q178" s="43"/>
      <c r="R178" s="43">
        <v>77</v>
      </c>
      <c r="S178" s="43">
        <v>63952100</v>
      </c>
      <c r="T178" s="44">
        <f t="shared" si="12"/>
        <v>7694</v>
      </c>
      <c r="U178" s="44">
        <f t="shared" si="12"/>
        <v>3530659100</v>
      </c>
      <c r="V178" s="45">
        <f t="shared" si="13"/>
        <v>0.86172275879027804</v>
      </c>
      <c r="W178" s="44">
        <f t="shared" si="14"/>
        <v>7250</v>
      </c>
      <c r="X178" s="44">
        <f t="shared" si="15"/>
        <v>3106401400</v>
      </c>
      <c r="Y178" s="43">
        <f t="shared" si="16"/>
        <v>419648.1793103448</v>
      </c>
      <c r="Z178" s="45">
        <f t="shared" si="17"/>
        <v>1.8113360193851624E-2</v>
      </c>
    </row>
    <row r="179" spans="1:26">
      <c r="A179" s="42" t="s">
        <v>430</v>
      </c>
      <c r="B179" s="42" t="s">
        <v>431</v>
      </c>
      <c r="C179" s="42" t="s">
        <v>11</v>
      </c>
      <c r="D179" s="43">
        <v>781</v>
      </c>
      <c r="E179" s="43">
        <v>241947700</v>
      </c>
      <c r="F179" s="43">
        <v>17502</v>
      </c>
      <c r="G179" s="43">
        <v>11883281300</v>
      </c>
      <c r="H179" s="43"/>
      <c r="I179" s="43"/>
      <c r="J179" s="43"/>
      <c r="K179" s="43"/>
      <c r="L179" s="43">
        <v>654</v>
      </c>
      <c r="M179" s="43">
        <v>609589847</v>
      </c>
      <c r="N179" s="43">
        <v>598</v>
      </c>
      <c r="O179" s="43">
        <v>554733747</v>
      </c>
      <c r="P179" s="43">
        <v>2</v>
      </c>
      <c r="Q179" s="43">
        <v>733300</v>
      </c>
      <c r="R179" s="43">
        <v>54</v>
      </c>
      <c r="S179" s="43">
        <v>54122800</v>
      </c>
      <c r="T179" s="44">
        <f t="shared" si="12"/>
        <v>18937</v>
      </c>
      <c r="U179" s="44">
        <f t="shared" si="12"/>
        <v>12734818847</v>
      </c>
      <c r="V179" s="45">
        <f t="shared" si="13"/>
        <v>0.93313312444954011</v>
      </c>
      <c r="W179" s="44">
        <f t="shared" si="14"/>
        <v>17502</v>
      </c>
      <c r="X179" s="44">
        <f t="shared" si="15"/>
        <v>11937404100</v>
      </c>
      <c r="Y179" s="43">
        <f t="shared" si="16"/>
        <v>678967.04948005942</v>
      </c>
      <c r="Z179" s="45">
        <f t="shared" si="17"/>
        <v>4.2499858576904659E-3</v>
      </c>
    </row>
    <row r="180" spans="1:26">
      <c r="A180" s="42" t="s">
        <v>432</v>
      </c>
      <c r="B180" s="42" t="s">
        <v>433</v>
      </c>
      <c r="C180" s="42" t="s">
        <v>11</v>
      </c>
      <c r="D180" s="43">
        <v>448</v>
      </c>
      <c r="E180" s="43">
        <v>121580200</v>
      </c>
      <c r="F180" s="43">
        <v>6141</v>
      </c>
      <c r="G180" s="43">
        <v>4527597100</v>
      </c>
      <c r="H180" s="43"/>
      <c r="I180" s="43"/>
      <c r="J180" s="43"/>
      <c r="K180" s="43"/>
      <c r="L180" s="43">
        <v>154</v>
      </c>
      <c r="M180" s="43">
        <v>131636000</v>
      </c>
      <c r="N180" s="43">
        <v>154</v>
      </c>
      <c r="O180" s="43">
        <v>131636000</v>
      </c>
      <c r="P180" s="43"/>
      <c r="Q180" s="43"/>
      <c r="R180" s="43"/>
      <c r="S180" s="43"/>
      <c r="T180" s="44">
        <f t="shared" si="12"/>
        <v>6743</v>
      </c>
      <c r="U180" s="44">
        <f t="shared" si="12"/>
        <v>4780813300</v>
      </c>
      <c r="V180" s="45">
        <f t="shared" si="13"/>
        <v>0.94703491140304519</v>
      </c>
      <c r="W180" s="44">
        <f t="shared" si="14"/>
        <v>6141</v>
      </c>
      <c r="X180" s="44">
        <f t="shared" si="15"/>
        <v>4527597100</v>
      </c>
      <c r="Y180" s="43">
        <f t="shared" si="16"/>
        <v>737273.58736362157</v>
      </c>
      <c r="Z180" s="45">
        <f t="shared" si="17"/>
        <v>0</v>
      </c>
    </row>
    <row r="181" spans="1:26">
      <c r="A181" s="42" t="s">
        <v>434</v>
      </c>
      <c r="B181" s="42" t="s">
        <v>435</v>
      </c>
      <c r="C181" s="42" t="s">
        <v>11</v>
      </c>
      <c r="D181" s="43">
        <v>71</v>
      </c>
      <c r="E181" s="43">
        <v>82584700</v>
      </c>
      <c r="F181" s="43">
        <v>2883</v>
      </c>
      <c r="G181" s="43">
        <v>3421936200</v>
      </c>
      <c r="H181" s="43"/>
      <c r="I181" s="43"/>
      <c r="J181" s="43"/>
      <c r="K181" s="43"/>
      <c r="L181" s="43">
        <v>200</v>
      </c>
      <c r="M181" s="43">
        <v>121330300</v>
      </c>
      <c r="N181" s="43">
        <v>198</v>
      </c>
      <c r="O181" s="43">
        <v>117897600</v>
      </c>
      <c r="P181" s="43"/>
      <c r="Q181" s="43"/>
      <c r="R181" s="43">
        <v>2</v>
      </c>
      <c r="S181" s="43">
        <v>3432700</v>
      </c>
      <c r="T181" s="44">
        <f t="shared" si="12"/>
        <v>3154</v>
      </c>
      <c r="U181" s="44">
        <f t="shared" si="12"/>
        <v>3625851200</v>
      </c>
      <c r="V181" s="45">
        <f t="shared" si="13"/>
        <v>0.94376079194866025</v>
      </c>
      <c r="W181" s="44">
        <f t="shared" si="14"/>
        <v>2883</v>
      </c>
      <c r="X181" s="44">
        <f t="shared" si="15"/>
        <v>3425368900</v>
      </c>
      <c r="Y181" s="43">
        <f t="shared" si="16"/>
        <v>1186935.9001040582</v>
      </c>
      <c r="Z181" s="45">
        <f t="shared" si="17"/>
        <v>9.467294190120102E-4</v>
      </c>
    </row>
    <row r="182" spans="1:26">
      <c r="A182" s="42" t="s">
        <v>436</v>
      </c>
      <c r="B182" s="42" t="s">
        <v>437</v>
      </c>
      <c r="C182" s="42" t="s">
        <v>11</v>
      </c>
      <c r="D182" s="43">
        <v>1304</v>
      </c>
      <c r="E182" s="43">
        <v>106083800</v>
      </c>
      <c r="F182" s="43">
        <v>5575</v>
      </c>
      <c r="G182" s="43">
        <v>1916690500</v>
      </c>
      <c r="H182" s="43">
        <v>35</v>
      </c>
      <c r="I182" s="43">
        <v>14202100</v>
      </c>
      <c r="J182" s="43">
        <v>82</v>
      </c>
      <c r="K182" s="43">
        <v>531400</v>
      </c>
      <c r="L182" s="43">
        <v>297</v>
      </c>
      <c r="M182" s="43">
        <v>221715800</v>
      </c>
      <c r="N182" s="43">
        <v>291</v>
      </c>
      <c r="O182" s="43">
        <v>194482400</v>
      </c>
      <c r="P182" s="43">
        <v>1</v>
      </c>
      <c r="Q182" s="43">
        <v>25986700</v>
      </c>
      <c r="R182" s="43">
        <v>5</v>
      </c>
      <c r="S182" s="43">
        <v>1246700</v>
      </c>
      <c r="T182" s="44">
        <f t="shared" si="12"/>
        <v>7293</v>
      </c>
      <c r="U182" s="44">
        <f t="shared" si="12"/>
        <v>2259223600</v>
      </c>
      <c r="V182" s="45">
        <f t="shared" si="13"/>
        <v>0.8546708701166188</v>
      </c>
      <c r="W182" s="44">
        <f t="shared" si="14"/>
        <v>5610</v>
      </c>
      <c r="X182" s="44">
        <f t="shared" si="15"/>
        <v>1932139300</v>
      </c>
      <c r="Y182" s="43">
        <f t="shared" si="16"/>
        <v>344187.62923351157</v>
      </c>
      <c r="Z182" s="45">
        <f t="shared" si="17"/>
        <v>5.5182674260307837E-4</v>
      </c>
    </row>
    <row r="183" spans="1:26">
      <c r="A183" s="42" t="s">
        <v>438</v>
      </c>
      <c r="B183" s="42" t="s">
        <v>439</v>
      </c>
      <c r="C183" s="42" t="s">
        <v>11</v>
      </c>
      <c r="D183" s="43">
        <v>135</v>
      </c>
      <c r="E183" s="43">
        <v>33282200</v>
      </c>
      <c r="F183" s="43">
        <v>867</v>
      </c>
      <c r="G183" s="43">
        <v>433366600</v>
      </c>
      <c r="H183" s="43">
        <v>3</v>
      </c>
      <c r="I183" s="43">
        <v>2591600</v>
      </c>
      <c r="J183" s="43">
        <v>5</v>
      </c>
      <c r="K183" s="43">
        <v>73700</v>
      </c>
      <c r="L183" s="43">
        <v>36</v>
      </c>
      <c r="M183" s="43">
        <v>41560400</v>
      </c>
      <c r="N183" s="43">
        <v>34</v>
      </c>
      <c r="O183" s="43">
        <v>40370900</v>
      </c>
      <c r="P183" s="43"/>
      <c r="Q183" s="43"/>
      <c r="R183" s="43">
        <v>2</v>
      </c>
      <c r="S183" s="43">
        <v>1189500</v>
      </c>
      <c r="T183" s="44">
        <f t="shared" si="12"/>
        <v>1046</v>
      </c>
      <c r="U183" s="44">
        <f t="shared" si="12"/>
        <v>510874500</v>
      </c>
      <c r="V183" s="45">
        <f t="shared" si="13"/>
        <v>0.85335674417102436</v>
      </c>
      <c r="W183" s="44">
        <f t="shared" si="14"/>
        <v>870</v>
      </c>
      <c r="X183" s="44">
        <f t="shared" si="15"/>
        <v>437147700</v>
      </c>
      <c r="Y183" s="43">
        <f t="shared" si="16"/>
        <v>501101.37931034481</v>
      </c>
      <c r="Z183" s="45">
        <f t="shared" si="17"/>
        <v>2.3283604877518843E-3</v>
      </c>
    </row>
    <row r="184" spans="1:26">
      <c r="A184" s="42" t="s">
        <v>440</v>
      </c>
      <c r="B184" s="42" t="s">
        <v>441</v>
      </c>
      <c r="C184" s="42" t="s">
        <v>11</v>
      </c>
      <c r="D184" s="43">
        <v>170</v>
      </c>
      <c r="E184" s="43">
        <v>25796200</v>
      </c>
      <c r="F184" s="43">
        <v>762</v>
      </c>
      <c r="G184" s="43">
        <v>186625800</v>
      </c>
      <c r="H184" s="43"/>
      <c r="I184" s="43"/>
      <c r="J184" s="43"/>
      <c r="K184" s="43"/>
      <c r="L184" s="43">
        <v>13</v>
      </c>
      <c r="M184" s="43">
        <v>6952400</v>
      </c>
      <c r="N184" s="43">
        <v>10</v>
      </c>
      <c r="O184" s="43">
        <v>5943900</v>
      </c>
      <c r="P184" s="43"/>
      <c r="Q184" s="43"/>
      <c r="R184" s="43">
        <v>3</v>
      </c>
      <c r="S184" s="43">
        <v>1008500</v>
      </c>
      <c r="T184" s="44">
        <f t="shared" si="12"/>
        <v>945</v>
      </c>
      <c r="U184" s="44">
        <f t="shared" si="12"/>
        <v>219374400</v>
      </c>
      <c r="V184" s="45">
        <f t="shared" si="13"/>
        <v>0.85071822418659604</v>
      </c>
      <c r="W184" s="44">
        <f t="shared" si="14"/>
        <v>762</v>
      </c>
      <c r="X184" s="44">
        <f t="shared" si="15"/>
        <v>187634300</v>
      </c>
      <c r="Y184" s="43">
        <f t="shared" si="16"/>
        <v>244915.74803149607</v>
      </c>
      <c r="Z184" s="45">
        <f t="shared" si="17"/>
        <v>4.5971635705898224E-3</v>
      </c>
    </row>
    <row r="185" spans="1:26">
      <c r="A185" s="42" t="s">
        <v>442</v>
      </c>
      <c r="B185" s="42" t="s">
        <v>443</v>
      </c>
      <c r="C185" s="42" t="s">
        <v>11</v>
      </c>
      <c r="D185" s="43">
        <v>290</v>
      </c>
      <c r="E185" s="43">
        <v>67647700</v>
      </c>
      <c r="F185" s="43">
        <v>4170</v>
      </c>
      <c r="G185" s="43">
        <v>1104334100</v>
      </c>
      <c r="H185" s="43"/>
      <c r="I185" s="43"/>
      <c r="J185" s="43"/>
      <c r="K185" s="43"/>
      <c r="L185" s="43">
        <v>826</v>
      </c>
      <c r="M185" s="43">
        <v>663554700</v>
      </c>
      <c r="N185" s="43">
        <v>569</v>
      </c>
      <c r="O185" s="43">
        <v>469532400</v>
      </c>
      <c r="P185" s="43">
        <v>6</v>
      </c>
      <c r="Q185" s="43">
        <v>5766900</v>
      </c>
      <c r="R185" s="43">
        <v>251</v>
      </c>
      <c r="S185" s="43">
        <v>188255400</v>
      </c>
      <c r="T185" s="44">
        <f t="shared" si="12"/>
        <v>5286</v>
      </c>
      <c r="U185" s="44">
        <f t="shared" si="12"/>
        <v>1835536500</v>
      </c>
      <c r="V185" s="45">
        <f t="shared" si="13"/>
        <v>0.60164104609197366</v>
      </c>
      <c r="W185" s="44">
        <f t="shared" si="14"/>
        <v>4170</v>
      </c>
      <c r="X185" s="44">
        <f t="shared" si="15"/>
        <v>1292589500</v>
      </c>
      <c r="Y185" s="43">
        <f t="shared" si="16"/>
        <v>264828.32134292566</v>
      </c>
      <c r="Z185" s="45">
        <f t="shared" si="17"/>
        <v>0.10256151266945658</v>
      </c>
    </row>
    <row r="186" spans="1:26">
      <c r="A186" s="42" t="s">
        <v>444</v>
      </c>
      <c r="B186" s="42" t="s">
        <v>445</v>
      </c>
      <c r="C186" s="42" t="s">
        <v>11</v>
      </c>
      <c r="D186" s="43">
        <v>124</v>
      </c>
      <c r="E186" s="43">
        <v>31194800</v>
      </c>
      <c r="F186" s="43">
        <v>4865</v>
      </c>
      <c r="G186" s="43">
        <v>1281346200</v>
      </c>
      <c r="H186" s="43"/>
      <c r="I186" s="43"/>
      <c r="J186" s="43"/>
      <c r="K186" s="43"/>
      <c r="L186" s="43">
        <v>177</v>
      </c>
      <c r="M186" s="43">
        <v>211914400</v>
      </c>
      <c r="N186" s="43">
        <v>144</v>
      </c>
      <c r="O186" s="43">
        <v>201323900</v>
      </c>
      <c r="P186" s="43"/>
      <c r="Q186" s="43"/>
      <c r="R186" s="43">
        <v>33</v>
      </c>
      <c r="S186" s="43">
        <v>10590500</v>
      </c>
      <c r="T186" s="44">
        <f t="shared" si="12"/>
        <v>5166</v>
      </c>
      <c r="U186" s="44">
        <f t="shared" si="12"/>
        <v>1524455400</v>
      </c>
      <c r="V186" s="45">
        <f t="shared" si="13"/>
        <v>0.84052718105101665</v>
      </c>
      <c r="W186" s="44">
        <f t="shared" si="14"/>
        <v>4865</v>
      </c>
      <c r="X186" s="44">
        <f t="shared" si="15"/>
        <v>1291936700</v>
      </c>
      <c r="Y186" s="43">
        <f t="shared" si="16"/>
        <v>263380.51387461461</v>
      </c>
      <c r="Z186" s="45">
        <f t="shared" si="17"/>
        <v>6.9470710655096897E-3</v>
      </c>
    </row>
    <row r="187" spans="1:26">
      <c r="A187" s="42" t="s">
        <v>446</v>
      </c>
      <c r="B187" s="42" t="s">
        <v>447</v>
      </c>
      <c r="C187" s="42" t="s">
        <v>11</v>
      </c>
      <c r="D187" s="43">
        <v>168</v>
      </c>
      <c r="E187" s="43">
        <v>8754000</v>
      </c>
      <c r="F187" s="43">
        <v>1079</v>
      </c>
      <c r="G187" s="43">
        <v>130920600</v>
      </c>
      <c r="H187" s="43">
        <v>18</v>
      </c>
      <c r="I187" s="43">
        <v>4860800</v>
      </c>
      <c r="J187" s="43">
        <v>31</v>
      </c>
      <c r="K187" s="43">
        <v>140100</v>
      </c>
      <c r="L187" s="43">
        <v>69</v>
      </c>
      <c r="M187" s="43">
        <v>33126700</v>
      </c>
      <c r="N187" s="43">
        <v>61</v>
      </c>
      <c r="O187" s="43">
        <v>23302300</v>
      </c>
      <c r="P187" s="43">
        <v>6</v>
      </c>
      <c r="Q187" s="43">
        <v>4763000</v>
      </c>
      <c r="R187" s="43">
        <v>2</v>
      </c>
      <c r="S187" s="43">
        <v>5061400</v>
      </c>
      <c r="T187" s="44">
        <f t="shared" si="12"/>
        <v>1365</v>
      </c>
      <c r="U187" s="44">
        <f t="shared" si="12"/>
        <v>177802200</v>
      </c>
      <c r="V187" s="45">
        <f t="shared" si="13"/>
        <v>0.76366546645654554</v>
      </c>
      <c r="W187" s="44">
        <f t="shared" si="14"/>
        <v>1097</v>
      </c>
      <c r="X187" s="44">
        <f t="shared" si="15"/>
        <v>140842800</v>
      </c>
      <c r="Y187" s="43">
        <f t="shared" si="16"/>
        <v>123775.20510483136</v>
      </c>
      <c r="Z187" s="45">
        <f t="shared" si="17"/>
        <v>2.8466464419450378E-2</v>
      </c>
    </row>
    <row r="188" spans="1:26">
      <c r="A188" s="42" t="s">
        <v>448</v>
      </c>
      <c r="B188" s="42" t="s">
        <v>449</v>
      </c>
      <c r="C188" s="42" t="s">
        <v>12</v>
      </c>
      <c r="D188" s="43">
        <v>646</v>
      </c>
      <c r="E188" s="43">
        <v>5107500</v>
      </c>
      <c r="F188" s="43">
        <v>4436</v>
      </c>
      <c r="G188" s="43">
        <v>241552800</v>
      </c>
      <c r="H188" s="43">
        <v>3</v>
      </c>
      <c r="I188" s="43">
        <v>182000</v>
      </c>
      <c r="J188" s="43">
        <v>6</v>
      </c>
      <c r="K188" s="43">
        <v>42600</v>
      </c>
      <c r="L188" s="43">
        <v>567</v>
      </c>
      <c r="M188" s="43">
        <v>107277100</v>
      </c>
      <c r="N188" s="43">
        <v>475</v>
      </c>
      <c r="O188" s="43">
        <v>69160600</v>
      </c>
      <c r="P188" s="43">
        <v>38</v>
      </c>
      <c r="Q188" s="43">
        <v>22459100</v>
      </c>
      <c r="R188" s="43">
        <v>54</v>
      </c>
      <c r="S188" s="43">
        <v>15657400</v>
      </c>
      <c r="T188" s="44">
        <f t="shared" si="12"/>
        <v>5658</v>
      </c>
      <c r="U188" s="44">
        <f t="shared" si="12"/>
        <v>354162000</v>
      </c>
      <c r="V188" s="45">
        <f t="shared" si="13"/>
        <v>0.68255431130386657</v>
      </c>
      <c r="W188" s="44">
        <f t="shared" si="14"/>
        <v>4439</v>
      </c>
      <c r="X188" s="44">
        <f t="shared" si="15"/>
        <v>257392200</v>
      </c>
      <c r="Y188" s="43">
        <f t="shared" si="16"/>
        <v>54457.039873845461</v>
      </c>
      <c r="Z188" s="45">
        <f t="shared" si="17"/>
        <v>4.4209711939733796E-2</v>
      </c>
    </row>
    <row r="189" spans="1:26">
      <c r="A189" s="42" t="s">
        <v>450</v>
      </c>
      <c r="B189" s="42" t="s">
        <v>451</v>
      </c>
      <c r="C189" s="42" t="s">
        <v>12</v>
      </c>
      <c r="D189" s="43">
        <v>1768</v>
      </c>
      <c r="E189" s="43">
        <v>9268175</v>
      </c>
      <c r="F189" s="43">
        <v>2135</v>
      </c>
      <c r="G189" s="43">
        <v>97090890</v>
      </c>
      <c r="H189" s="43">
        <v>22</v>
      </c>
      <c r="I189" s="43">
        <v>738400</v>
      </c>
      <c r="J189" s="43">
        <v>55</v>
      </c>
      <c r="K189" s="43">
        <v>546000</v>
      </c>
      <c r="L189" s="43">
        <v>81</v>
      </c>
      <c r="M189" s="43">
        <v>10066850</v>
      </c>
      <c r="N189" s="43">
        <v>62</v>
      </c>
      <c r="O189" s="43">
        <v>4089750</v>
      </c>
      <c r="P189" s="43">
        <v>18</v>
      </c>
      <c r="Q189" s="43">
        <v>5914700</v>
      </c>
      <c r="R189" s="43">
        <v>1</v>
      </c>
      <c r="S189" s="43">
        <v>62400</v>
      </c>
      <c r="T189" s="44">
        <f t="shared" si="12"/>
        <v>4061</v>
      </c>
      <c r="U189" s="44">
        <f t="shared" si="12"/>
        <v>117710315</v>
      </c>
      <c r="V189" s="45">
        <f t="shared" si="13"/>
        <v>0.83110210010057317</v>
      </c>
      <c r="W189" s="44">
        <f t="shared" si="14"/>
        <v>2157</v>
      </c>
      <c r="X189" s="44">
        <f t="shared" si="15"/>
        <v>97891690</v>
      </c>
      <c r="Y189" s="43">
        <f t="shared" si="16"/>
        <v>45354.330088085306</v>
      </c>
      <c r="Z189" s="45">
        <f t="shared" si="17"/>
        <v>5.3011496910869709E-4</v>
      </c>
    </row>
    <row r="190" spans="1:26">
      <c r="A190" s="42" t="s">
        <v>452</v>
      </c>
      <c r="B190" s="42" t="s">
        <v>453</v>
      </c>
      <c r="C190" s="42" t="s">
        <v>12</v>
      </c>
      <c r="D190" s="43">
        <v>287</v>
      </c>
      <c r="E190" s="43">
        <v>7483900</v>
      </c>
      <c r="F190" s="43">
        <v>938</v>
      </c>
      <c r="G190" s="43">
        <v>124748600</v>
      </c>
      <c r="H190" s="43">
        <v>164</v>
      </c>
      <c r="I190" s="43">
        <v>23067000</v>
      </c>
      <c r="J190" s="43">
        <v>255</v>
      </c>
      <c r="K190" s="43">
        <v>2702600</v>
      </c>
      <c r="L190" s="43">
        <v>72</v>
      </c>
      <c r="M190" s="43">
        <v>24670600</v>
      </c>
      <c r="N190" s="43">
        <v>70</v>
      </c>
      <c r="O190" s="43">
        <v>16477000</v>
      </c>
      <c r="P190" s="43">
        <v>2</v>
      </c>
      <c r="Q190" s="43">
        <v>8193600</v>
      </c>
      <c r="R190" s="43"/>
      <c r="S190" s="43"/>
      <c r="T190" s="44">
        <f t="shared" si="12"/>
        <v>1716</v>
      </c>
      <c r="U190" s="44">
        <f t="shared" si="12"/>
        <v>182672700</v>
      </c>
      <c r="V190" s="45">
        <f t="shared" si="13"/>
        <v>0.80918276239416176</v>
      </c>
      <c r="W190" s="44">
        <f t="shared" si="14"/>
        <v>1102</v>
      </c>
      <c r="X190" s="44">
        <f t="shared" si="15"/>
        <v>147815600</v>
      </c>
      <c r="Y190" s="43">
        <f t="shared" si="16"/>
        <v>134133.93829401088</v>
      </c>
      <c r="Z190" s="45">
        <f t="shared" si="17"/>
        <v>0</v>
      </c>
    </row>
    <row r="191" spans="1:26">
      <c r="A191" s="42" t="s">
        <v>454</v>
      </c>
      <c r="B191" s="42" t="s">
        <v>455</v>
      </c>
      <c r="C191" s="42" t="s">
        <v>12</v>
      </c>
      <c r="D191" s="43">
        <v>678</v>
      </c>
      <c r="E191" s="43">
        <v>6254500</v>
      </c>
      <c r="F191" s="43">
        <v>943</v>
      </c>
      <c r="G191" s="43">
        <v>58311500</v>
      </c>
      <c r="H191" s="43">
        <v>54</v>
      </c>
      <c r="I191" s="43">
        <v>3296100</v>
      </c>
      <c r="J191" s="43">
        <v>54</v>
      </c>
      <c r="K191" s="43">
        <v>295900</v>
      </c>
      <c r="L191" s="43">
        <v>49</v>
      </c>
      <c r="M191" s="43">
        <v>6432700</v>
      </c>
      <c r="N191" s="43">
        <v>48</v>
      </c>
      <c r="O191" s="43">
        <v>6309200</v>
      </c>
      <c r="P191" s="43"/>
      <c r="Q191" s="43"/>
      <c r="R191" s="43">
        <v>1</v>
      </c>
      <c r="S191" s="43">
        <v>123500</v>
      </c>
      <c r="T191" s="44">
        <f t="shared" si="12"/>
        <v>1778</v>
      </c>
      <c r="U191" s="44">
        <f t="shared" si="12"/>
        <v>74590700</v>
      </c>
      <c r="V191" s="45">
        <f t="shared" si="13"/>
        <v>0.82594210806441015</v>
      </c>
      <c r="W191" s="44">
        <f t="shared" si="14"/>
        <v>997</v>
      </c>
      <c r="X191" s="44">
        <f t="shared" si="15"/>
        <v>61731100</v>
      </c>
      <c r="Y191" s="43">
        <f t="shared" si="16"/>
        <v>61792.978936810432</v>
      </c>
      <c r="Z191" s="45">
        <f t="shared" si="17"/>
        <v>1.655702386490541E-3</v>
      </c>
    </row>
    <row r="192" spans="1:26">
      <c r="A192" s="42" t="s">
        <v>456</v>
      </c>
      <c r="B192" s="42" t="s">
        <v>457</v>
      </c>
      <c r="C192" s="42" t="s">
        <v>12</v>
      </c>
      <c r="D192" s="43">
        <v>714</v>
      </c>
      <c r="E192" s="43">
        <v>9240700</v>
      </c>
      <c r="F192" s="43">
        <v>1625</v>
      </c>
      <c r="G192" s="43">
        <v>135374500</v>
      </c>
      <c r="H192" s="43">
        <v>61</v>
      </c>
      <c r="I192" s="43">
        <v>7071000</v>
      </c>
      <c r="J192" s="43">
        <v>182</v>
      </c>
      <c r="K192" s="43">
        <v>2827400</v>
      </c>
      <c r="L192" s="43">
        <v>83</v>
      </c>
      <c r="M192" s="43">
        <v>13689200</v>
      </c>
      <c r="N192" s="43">
        <v>82</v>
      </c>
      <c r="O192" s="43">
        <v>13469800</v>
      </c>
      <c r="P192" s="43"/>
      <c r="Q192" s="43"/>
      <c r="R192" s="43">
        <v>1</v>
      </c>
      <c r="S192" s="43">
        <v>219400</v>
      </c>
      <c r="T192" s="44">
        <f t="shared" si="12"/>
        <v>2665</v>
      </c>
      <c r="U192" s="44">
        <f t="shared" si="12"/>
        <v>168202800</v>
      </c>
      <c r="V192" s="45">
        <f t="shared" si="13"/>
        <v>0.84686759078921392</v>
      </c>
      <c r="W192" s="44">
        <f t="shared" si="14"/>
        <v>1686</v>
      </c>
      <c r="X192" s="44">
        <f t="shared" si="15"/>
        <v>142664900</v>
      </c>
      <c r="Y192" s="43">
        <f t="shared" si="16"/>
        <v>84487.247924080672</v>
      </c>
      <c r="Z192" s="45">
        <f t="shared" si="17"/>
        <v>1.3043778105953053E-3</v>
      </c>
    </row>
    <row r="193" spans="1:26">
      <c r="A193" s="42" t="s">
        <v>458</v>
      </c>
      <c r="B193" s="42" t="s">
        <v>459</v>
      </c>
      <c r="C193" s="42" t="s">
        <v>12</v>
      </c>
      <c r="D193" s="43">
        <v>119</v>
      </c>
      <c r="E193" s="43">
        <v>4132100</v>
      </c>
      <c r="F193" s="43">
        <v>302</v>
      </c>
      <c r="G193" s="43">
        <v>42603100</v>
      </c>
      <c r="H193" s="43">
        <v>61</v>
      </c>
      <c r="I193" s="43">
        <v>10042000</v>
      </c>
      <c r="J193" s="43">
        <v>152</v>
      </c>
      <c r="K193" s="43">
        <v>3199600</v>
      </c>
      <c r="L193" s="43">
        <v>10</v>
      </c>
      <c r="M193" s="43">
        <v>2814800</v>
      </c>
      <c r="N193" s="43">
        <v>10</v>
      </c>
      <c r="O193" s="43">
        <v>2814800</v>
      </c>
      <c r="P193" s="43"/>
      <c r="Q193" s="43"/>
      <c r="R193" s="43"/>
      <c r="S193" s="43"/>
      <c r="T193" s="44">
        <f t="shared" si="12"/>
        <v>644</v>
      </c>
      <c r="U193" s="44">
        <f t="shared" si="12"/>
        <v>62791600</v>
      </c>
      <c r="V193" s="45">
        <f t="shared" si="13"/>
        <v>0.83840991470196646</v>
      </c>
      <c r="W193" s="44">
        <f t="shared" si="14"/>
        <v>363</v>
      </c>
      <c r="X193" s="44">
        <f t="shared" si="15"/>
        <v>52645100</v>
      </c>
      <c r="Y193" s="43">
        <f t="shared" si="16"/>
        <v>145027.82369146004</v>
      </c>
      <c r="Z193" s="45">
        <f t="shared" si="17"/>
        <v>0</v>
      </c>
    </row>
    <row r="194" spans="1:26">
      <c r="A194" s="42" t="s">
        <v>460</v>
      </c>
      <c r="B194" s="42" t="s">
        <v>461</v>
      </c>
      <c r="C194" s="42" t="s">
        <v>12</v>
      </c>
      <c r="D194" s="43">
        <v>238</v>
      </c>
      <c r="E194" s="43">
        <v>5152000</v>
      </c>
      <c r="F194" s="43">
        <v>1435</v>
      </c>
      <c r="G194" s="43">
        <v>174858500</v>
      </c>
      <c r="H194" s="43">
        <v>192</v>
      </c>
      <c r="I194" s="43">
        <v>29866300</v>
      </c>
      <c r="J194" s="43">
        <v>473</v>
      </c>
      <c r="K194" s="43">
        <v>6729900</v>
      </c>
      <c r="L194" s="43">
        <v>47</v>
      </c>
      <c r="M194" s="43">
        <v>13790400</v>
      </c>
      <c r="N194" s="43">
        <v>45</v>
      </c>
      <c r="O194" s="43">
        <v>13375000</v>
      </c>
      <c r="P194" s="43"/>
      <c r="Q194" s="43"/>
      <c r="R194" s="43">
        <v>2</v>
      </c>
      <c r="S194" s="43">
        <v>415400</v>
      </c>
      <c r="T194" s="44">
        <f t="shared" ref="T194:U257" si="18">R194+P194+N194+J194+H194+F194+D194</f>
        <v>2385</v>
      </c>
      <c r="U194" s="44">
        <f t="shared" si="18"/>
        <v>230397100</v>
      </c>
      <c r="V194" s="45">
        <f t="shared" ref="V194:V257" si="19">(G194+I194)/U194</f>
        <v>0.88857368430418615</v>
      </c>
      <c r="W194" s="44">
        <f t="shared" ref="W194:W257" si="20">F194+H194</f>
        <v>1627</v>
      </c>
      <c r="X194" s="44">
        <f t="shared" ref="X194:X257" si="21">G194+I194+S194</f>
        <v>205140200</v>
      </c>
      <c r="Y194" s="43">
        <f t="shared" ref="Y194:Y257" si="22">(G194+I194)/(H194+F194)</f>
        <v>125829.62507682852</v>
      </c>
      <c r="Z194" s="45">
        <f t="shared" ref="Z194:Z257" si="23">S194/U194</f>
        <v>1.8029740825730878E-3</v>
      </c>
    </row>
    <row r="195" spans="1:26">
      <c r="A195" s="42" t="s">
        <v>462</v>
      </c>
      <c r="B195" s="42" t="s">
        <v>463</v>
      </c>
      <c r="C195" s="42" t="s">
        <v>12</v>
      </c>
      <c r="D195" s="43">
        <v>1838</v>
      </c>
      <c r="E195" s="43">
        <v>7933500</v>
      </c>
      <c r="F195" s="43">
        <v>1108</v>
      </c>
      <c r="G195" s="43">
        <v>93435500</v>
      </c>
      <c r="H195" s="43">
        <v>114</v>
      </c>
      <c r="I195" s="43">
        <v>9064600</v>
      </c>
      <c r="J195" s="43">
        <v>187</v>
      </c>
      <c r="K195" s="43">
        <v>1212700</v>
      </c>
      <c r="L195" s="43">
        <v>35</v>
      </c>
      <c r="M195" s="43">
        <v>5336300</v>
      </c>
      <c r="N195" s="43">
        <v>32</v>
      </c>
      <c r="O195" s="43">
        <v>2982500</v>
      </c>
      <c r="P195" s="43">
        <v>2</v>
      </c>
      <c r="Q195" s="43">
        <v>2273800</v>
      </c>
      <c r="R195" s="43">
        <v>1</v>
      </c>
      <c r="S195" s="43">
        <v>80000</v>
      </c>
      <c r="T195" s="44">
        <f t="shared" si="18"/>
        <v>3282</v>
      </c>
      <c r="U195" s="44">
        <f t="shared" si="18"/>
        <v>116982600</v>
      </c>
      <c r="V195" s="45">
        <f t="shared" si="19"/>
        <v>0.87619953736709566</v>
      </c>
      <c r="W195" s="44">
        <f t="shared" si="20"/>
        <v>1222</v>
      </c>
      <c r="X195" s="44">
        <f t="shared" si="21"/>
        <v>102580100</v>
      </c>
      <c r="Y195" s="43">
        <f t="shared" si="22"/>
        <v>83878.968903436995</v>
      </c>
      <c r="Z195" s="45">
        <f t="shared" si="23"/>
        <v>6.8386238637199032E-4</v>
      </c>
    </row>
    <row r="196" spans="1:26">
      <c r="A196" s="42" t="s">
        <v>464</v>
      </c>
      <c r="B196" s="42" t="s">
        <v>465</v>
      </c>
      <c r="C196" s="42" t="s">
        <v>12</v>
      </c>
      <c r="D196" s="43">
        <v>2056</v>
      </c>
      <c r="E196" s="43">
        <v>8638400</v>
      </c>
      <c r="F196" s="43">
        <v>1412</v>
      </c>
      <c r="G196" s="43">
        <v>114414900</v>
      </c>
      <c r="H196" s="43">
        <v>17</v>
      </c>
      <c r="I196" s="43">
        <v>3273200</v>
      </c>
      <c r="J196" s="43">
        <v>69</v>
      </c>
      <c r="K196" s="43">
        <v>1688000</v>
      </c>
      <c r="L196" s="43">
        <v>96</v>
      </c>
      <c r="M196" s="43">
        <v>15976600</v>
      </c>
      <c r="N196" s="43">
        <v>64</v>
      </c>
      <c r="O196" s="43">
        <v>7923100</v>
      </c>
      <c r="P196" s="43">
        <v>30</v>
      </c>
      <c r="Q196" s="43">
        <v>7661200</v>
      </c>
      <c r="R196" s="43">
        <v>2</v>
      </c>
      <c r="S196" s="43">
        <v>392300</v>
      </c>
      <c r="T196" s="44">
        <f t="shared" si="18"/>
        <v>3650</v>
      </c>
      <c r="U196" s="44">
        <f t="shared" si="18"/>
        <v>143991100</v>
      </c>
      <c r="V196" s="45">
        <f t="shared" si="19"/>
        <v>0.81732898769437834</v>
      </c>
      <c r="W196" s="44">
        <f t="shared" si="20"/>
        <v>1429</v>
      </c>
      <c r="X196" s="44">
        <f t="shared" si="21"/>
        <v>118080400</v>
      </c>
      <c r="Y196" s="43">
        <f t="shared" si="22"/>
        <v>82356.962911126655</v>
      </c>
      <c r="Z196" s="45">
        <f t="shared" si="23"/>
        <v>2.7244739431812105E-3</v>
      </c>
    </row>
    <row r="197" spans="1:26">
      <c r="A197" s="42" t="s">
        <v>466</v>
      </c>
      <c r="B197" s="42" t="s">
        <v>467</v>
      </c>
      <c r="C197" s="42" t="s">
        <v>12</v>
      </c>
      <c r="D197" s="43">
        <v>1185</v>
      </c>
      <c r="E197" s="43">
        <v>43449400</v>
      </c>
      <c r="F197" s="43">
        <v>8157</v>
      </c>
      <c r="G197" s="43">
        <v>1029826500</v>
      </c>
      <c r="H197" s="43">
        <v>57</v>
      </c>
      <c r="I197" s="43">
        <v>9437500</v>
      </c>
      <c r="J197" s="43">
        <v>148</v>
      </c>
      <c r="K197" s="43">
        <v>1372500</v>
      </c>
      <c r="L197" s="43">
        <v>517</v>
      </c>
      <c r="M197" s="43">
        <v>372006200</v>
      </c>
      <c r="N197" s="43">
        <v>413</v>
      </c>
      <c r="O197" s="43">
        <v>212121600</v>
      </c>
      <c r="P197" s="43">
        <v>71</v>
      </c>
      <c r="Q197" s="43">
        <v>120141600</v>
      </c>
      <c r="R197" s="43">
        <v>33</v>
      </c>
      <c r="S197" s="43">
        <v>39743000</v>
      </c>
      <c r="T197" s="44">
        <f t="shared" si="18"/>
        <v>10064</v>
      </c>
      <c r="U197" s="44">
        <f t="shared" si="18"/>
        <v>1456092100</v>
      </c>
      <c r="V197" s="45">
        <f t="shared" si="19"/>
        <v>0.71373507211528719</v>
      </c>
      <c r="W197" s="44">
        <f t="shared" si="20"/>
        <v>8214</v>
      </c>
      <c r="X197" s="44">
        <f t="shared" si="21"/>
        <v>1079007000</v>
      </c>
      <c r="Y197" s="43">
        <f t="shared" si="22"/>
        <v>126523.49646944241</v>
      </c>
      <c r="Z197" s="45">
        <f t="shared" si="23"/>
        <v>2.7294289969707272E-2</v>
      </c>
    </row>
    <row r="198" spans="1:26">
      <c r="A198" s="42" t="s">
        <v>468</v>
      </c>
      <c r="B198" s="42" t="s">
        <v>469</v>
      </c>
      <c r="C198" s="42" t="s">
        <v>12</v>
      </c>
      <c r="D198" s="43">
        <v>7</v>
      </c>
      <c r="E198" s="43">
        <v>171800</v>
      </c>
      <c r="F198" s="43">
        <v>186</v>
      </c>
      <c r="G198" s="43">
        <v>16419100</v>
      </c>
      <c r="H198" s="43">
        <v>10</v>
      </c>
      <c r="I198" s="43">
        <v>1295700</v>
      </c>
      <c r="J198" s="43">
        <v>25</v>
      </c>
      <c r="K198" s="43">
        <v>334400</v>
      </c>
      <c r="L198" s="43">
        <v>13</v>
      </c>
      <c r="M198" s="43">
        <v>1077400</v>
      </c>
      <c r="N198" s="43">
        <v>13</v>
      </c>
      <c r="O198" s="43">
        <v>1077400</v>
      </c>
      <c r="P198" s="43"/>
      <c r="Q198" s="43"/>
      <c r="R198" s="43"/>
      <c r="S198" s="43"/>
      <c r="T198" s="44">
        <f t="shared" si="18"/>
        <v>241</v>
      </c>
      <c r="U198" s="44">
        <f t="shared" si="18"/>
        <v>19298400</v>
      </c>
      <c r="V198" s="45">
        <f t="shared" si="19"/>
        <v>0.91794138374165735</v>
      </c>
      <c r="W198" s="44">
        <f t="shared" si="20"/>
        <v>196</v>
      </c>
      <c r="X198" s="44">
        <f t="shared" si="21"/>
        <v>17714800</v>
      </c>
      <c r="Y198" s="43">
        <f t="shared" si="22"/>
        <v>90381.632653061228</v>
      </c>
      <c r="Z198" s="45">
        <f t="shared" si="23"/>
        <v>0</v>
      </c>
    </row>
    <row r="199" spans="1:26">
      <c r="A199" s="42" t="s">
        <v>470</v>
      </c>
      <c r="B199" s="42" t="s">
        <v>471</v>
      </c>
      <c r="C199" s="42" t="s">
        <v>12</v>
      </c>
      <c r="D199" s="43">
        <v>58</v>
      </c>
      <c r="E199" s="43">
        <v>1271800</v>
      </c>
      <c r="F199" s="43">
        <v>369</v>
      </c>
      <c r="G199" s="43">
        <v>45836900</v>
      </c>
      <c r="H199" s="43">
        <v>176</v>
      </c>
      <c r="I199" s="43">
        <v>25543500</v>
      </c>
      <c r="J199" s="43">
        <v>344</v>
      </c>
      <c r="K199" s="43">
        <v>3443100</v>
      </c>
      <c r="L199" s="43">
        <v>16</v>
      </c>
      <c r="M199" s="43">
        <v>3212900</v>
      </c>
      <c r="N199" s="43">
        <v>16</v>
      </c>
      <c r="O199" s="43">
        <v>3212900</v>
      </c>
      <c r="P199" s="43"/>
      <c r="Q199" s="43"/>
      <c r="R199" s="43"/>
      <c r="S199" s="43"/>
      <c r="T199" s="44">
        <f t="shared" si="18"/>
        <v>963</v>
      </c>
      <c r="U199" s="44">
        <f t="shared" si="18"/>
        <v>79308200</v>
      </c>
      <c r="V199" s="45">
        <f t="shared" si="19"/>
        <v>0.90003807929066604</v>
      </c>
      <c r="W199" s="44">
        <f t="shared" si="20"/>
        <v>545</v>
      </c>
      <c r="X199" s="44">
        <f t="shared" si="21"/>
        <v>71380400</v>
      </c>
      <c r="Y199" s="43">
        <f t="shared" si="22"/>
        <v>130973.21100917431</v>
      </c>
      <c r="Z199" s="45">
        <f t="shared" si="23"/>
        <v>0</v>
      </c>
    </row>
    <row r="200" spans="1:26">
      <c r="A200" s="42" t="s">
        <v>472</v>
      </c>
      <c r="B200" s="42" t="s">
        <v>473</v>
      </c>
      <c r="C200" s="42" t="s">
        <v>12</v>
      </c>
      <c r="D200" s="43">
        <v>347</v>
      </c>
      <c r="E200" s="43">
        <v>9431400</v>
      </c>
      <c r="F200" s="43">
        <v>2487</v>
      </c>
      <c r="G200" s="43">
        <v>294139800</v>
      </c>
      <c r="H200" s="43">
        <v>210</v>
      </c>
      <c r="I200" s="43">
        <v>30885500</v>
      </c>
      <c r="J200" s="43">
        <v>441</v>
      </c>
      <c r="K200" s="43">
        <v>7029000</v>
      </c>
      <c r="L200" s="43">
        <v>132</v>
      </c>
      <c r="M200" s="43">
        <v>90469400</v>
      </c>
      <c r="N200" s="43">
        <v>126</v>
      </c>
      <c r="O200" s="43">
        <v>72276000</v>
      </c>
      <c r="P200" s="43">
        <v>2</v>
      </c>
      <c r="Q200" s="43">
        <v>10543800</v>
      </c>
      <c r="R200" s="43">
        <v>4</v>
      </c>
      <c r="S200" s="43">
        <v>7649600</v>
      </c>
      <c r="T200" s="44">
        <f t="shared" si="18"/>
        <v>3617</v>
      </c>
      <c r="U200" s="44">
        <f t="shared" si="18"/>
        <v>431955100</v>
      </c>
      <c r="V200" s="45">
        <f t="shared" si="19"/>
        <v>0.75245158582454519</v>
      </c>
      <c r="W200" s="44">
        <f t="shared" si="20"/>
        <v>2697</v>
      </c>
      <c r="X200" s="44">
        <f t="shared" si="21"/>
        <v>332674900</v>
      </c>
      <c r="Y200" s="43">
        <f t="shared" si="22"/>
        <v>120513.64479050797</v>
      </c>
      <c r="Z200" s="45">
        <f t="shared" si="23"/>
        <v>1.7709248021379999E-2</v>
      </c>
    </row>
    <row r="201" spans="1:26">
      <c r="A201" s="42" t="s">
        <v>474</v>
      </c>
      <c r="B201" s="42" t="s">
        <v>475</v>
      </c>
      <c r="C201" s="42" t="s">
        <v>12</v>
      </c>
      <c r="D201" s="43">
        <v>1595</v>
      </c>
      <c r="E201" s="43">
        <v>33968600</v>
      </c>
      <c r="F201" s="43">
        <v>15161</v>
      </c>
      <c r="G201" s="43">
        <v>1423693800</v>
      </c>
      <c r="H201" s="43">
        <v>400</v>
      </c>
      <c r="I201" s="43">
        <v>34880400</v>
      </c>
      <c r="J201" s="43">
        <v>629</v>
      </c>
      <c r="K201" s="43">
        <v>4089800</v>
      </c>
      <c r="L201" s="43">
        <v>1505</v>
      </c>
      <c r="M201" s="43">
        <v>535099200</v>
      </c>
      <c r="N201" s="43">
        <v>1292</v>
      </c>
      <c r="O201" s="43">
        <v>361783400</v>
      </c>
      <c r="P201" s="43">
        <v>149</v>
      </c>
      <c r="Q201" s="43">
        <v>122757400</v>
      </c>
      <c r="R201" s="43">
        <v>64</v>
      </c>
      <c r="S201" s="43">
        <v>50558400</v>
      </c>
      <c r="T201" s="44">
        <f t="shared" si="18"/>
        <v>19290</v>
      </c>
      <c r="U201" s="44">
        <f t="shared" si="18"/>
        <v>2031731800</v>
      </c>
      <c r="V201" s="45">
        <f t="shared" si="19"/>
        <v>0.71789701770676617</v>
      </c>
      <c r="W201" s="44">
        <f t="shared" si="20"/>
        <v>15561</v>
      </c>
      <c r="X201" s="44">
        <f t="shared" si="21"/>
        <v>1509132600</v>
      </c>
      <c r="Y201" s="43">
        <f t="shared" si="22"/>
        <v>93732.677848467327</v>
      </c>
      <c r="Z201" s="45">
        <f t="shared" si="23"/>
        <v>2.4884386807353213E-2</v>
      </c>
    </row>
    <row r="202" spans="1:26">
      <c r="A202" s="42" t="s">
        <v>476</v>
      </c>
      <c r="B202" s="42" t="s">
        <v>477</v>
      </c>
      <c r="C202" s="42" t="s">
        <v>13</v>
      </c>
      <c r="D202" s="43">
        <v>350</v>
      </c>
      <c r="E202" s="43">
        <v>62586000</v>
      </c>
      <c r="F202" s="43">
        <v>8374</v>
      </c>
      <c r="G202" s="43">
        <v>2545600800</v>
      </c>
      <c r="H202" s="43"/>
      <c r="I202" s="43"/>
      <c r="J202" s="43"/>
      <c r="K202" s="43"/>
      <c r="L202" s="43">
        <v>776</v>
      </c>
      <c r="M202" s="43">
        <v>789480900</v>
      </c>
      <c r="N202" s="43">
        <v>506</v>
      </c>
      <c r="O202" s="43">
        <v>339804000</v>
      </c>
      <c r="P202" s="43">
        <v>128</v>
      </c>
      <c r="Q202" s="43">
        <v>167937700</v>
      </c>
      <c r="R202" s="43">
        <v>142</v>
      </c>
      <c r="S202" s="43">
        <v>281739200</v>
      </c>
      <c r="T202" s="44">
        <f t="shared" si="18"/>
        <v>9500</v>
      </c>
      <c r="U202" s="44">
        <f t="shared" si="18"/>
        <v>3397667700</v>
      </c>
      <c r="V202" s="45">
        <f t="shared" si="19"/>
        <v>0.74922006057272761</v>
      </c>
      <c r="W202" s="44">
        <f t="shared" si="20"/>
        <v>8374</v>
      </c>
      <c r="X202" s="44">
        <f t="shared" si="21"/>
        <v>2827340000</v>
      </c>
      <c r="Y202" s="43">
        <f t="shared" si="22"/>
        <v>303988.63147838548</v>
      </c>
      <c r="Z202" s="45">
        <f t="shared" si="23"/>
        <v>8.2921352196979117E-2</v>
      </c>
    </row>
    <row r="203" spans="1:26">
      <c r="A203" s="42" t="s">
        <v>478</v>
      </c>
      <c r="B203" s="42" t="s">
        <v>479</v>
      </c>
      <c r="C203" s="42" t="s">
        <v>13</v>
      </c>
      <c r="D203" s="43">
        <v>129</v>
      </c>
      <c r="E203" s="43">
        <v>9275900</v>
      </c>
      <c r="F203" s="43">
        <v>11690</v>
      </c>
      <c r="G203" s="43">
        <v>1639810200</v>
      </c>
      <c r="H203" s="43"/>
      <c r="I203" s="43"/>
      <c r="J203" s="43"/>
      <c r="K203" s="43"/>
      <c r="L203" s="43">
        <v>789</v>
      </c>
      <c r="M203" s="43">
        <v>430212900</v>
      </c>
      <c r="N203" s="43">
        <v>661</v>
      </c>
      <c r="O203" s="43">
        <v>286204100</v>
      </c>
      <c r="P203" s="43">
        <v>39</v>
      </c>
      <c r="Q203" s="43">
        <v>33682200</v>
      </c>
      <c r="R203" s="43">
        <v>89</v>
      </c>
      <c r="S203" s="43">
        <v>110326600</v>
      </c>
      <c r="T203" s="44">
        <f t="shared" si="18"/>
        <v>12608</v>
      </c>
      <c r="U203" s="44">
        <f t="shared" si="18"/>
        <v>2079299000</v>
      </c>
      <c r="V203" s="45">
        <f t="shared" si="19"/>
        <v>0.7886360739845496</v>
      </c>
      <c r="W203" s="44">
        <f t="shared" si="20"/>
        <v>11690</v>
      </c>
      <c r="X203" s="44">
        <f t="shared" si="21"/>
        <v>1750136800</v>
      </c>
      <c r="Y203" s="43">
        <f t="shared" si="22"/>
        <v>140274.61077844311</v>
      </c>
      <c r="Z203" s="45">
        <f t="shared" si="23"/>
        <v>5.3059516692885438E-2</v>
      </c>
    </row>
    <row r="204" spans="1:26">
      <c r="A204" s="42" t="s">
        <v>480</v>
      </c>
      <c r="B204" s="42" t="s">
        <v>481</v>
      </c>
      <c r="C204" s="42" t="s">
        <v>13</v>
      </c>
      <c r="D204" s="43">
        <v>28</v>
      </c>
      <c r="E204" s="43">
        <v>7095800</v>
      </c>
      <c r="F204" s="43">
        <v>1897</v>
      </c>
      <c r="G204" s="43">
        <v>819061100</v>
      </c>
      <c r="H204" s="43"/>
      <c r="I204" s="43"/>
      <c r="J204" s="43"/>
      <c r="K204" s="43"/>
      <c r="L204" s="43">
        <v>217</v>
      </c>
      <c r="M204" s="43">
        <v>199691800</v>
      </c>
      <c r="N204" s="43">
        <v>189</v>
      </c>
      <c r="O204" s="43">
        <v>121736800</v>
      </c>
      <c r="P204" s="43"/>
      <c r="Q204" s="43"/>
      <c r="R204" s="43">
        <v>28</v>
      </c>
      <c r="S204" s="43">
        <v>77955000</v>
      </c>
      <c r="T204" s="44">
        <f t="shared" si="18"/>
        <v>2142</v>
      </c>
      <c r="U204" s="44">
        <f t="shared" si="18"/>
        <v>1025848700</v>
      </c>
      <c r="V204" s="45">
        <f t="shared" si="19"/>
        <v>0.79842290583396947</v>
      </c>
      <c r="W204" s="44">
        <f t="shared" si="20"/>
        <v>1897</v>
      </c>
      <c r="X204" s="44">
        <f t="shared" si="21"/>
        <v>897016100</v>
      </c>
      <c r="Y204" s="43">
        <f t="shared" si="22"/>
        <v>431766.52609383239</v>
      </c>
      <c r="Z204" s="45">
        <f t="shared" si="23"/>
        <v>7.5990738205351335E-2</v>
      </c>
    </row>
    <row r="205" spans="1:26">
      <c r="A205" s="42" t="s">
        <v>482</v>
      </c>
      <c r="B205" s="42" t="s">
        <v>483</v>
      </c>
      <c r="C205" s="42" t="s">
        <v>13</v>
      </c>
      <c r="D205" s="43">
        <v>139</v>
      </c>
      <c r="E205" s="43">
        <v>8045000</v>
      </c>
      <c r="F205" s="43">
        <v>3892</v>
      </c>
      <c r="G205" s="43">
        <v>273563000</v>
      </c>
      <c r="H205" s="43">
        <v>1</v>
      </c>
      <c r="I205" s="43">
        <v>302000</v>
      </c>
      <c r="J205" s="43">
        <v>1</v>
      </c>
      <c r="K205" s="43">
        <v>2400</v>
      </c>
      <c r="L205" s="43">
        <v>202</v>
      </c>
      <c r="M205" s="43">
        <v>50148100</v>
      </c>
      <c r="N205" s="43">
        <v>153</v>
      </c>
      <c r="O205" s="43">
        <v>27517000</v>
      </c>
      <c r="P205" s="43">
        <v>43</v>
      </c>
      <c r="Q205" s="43">
        <v>15701900</v>
      </c>
      <c r="R205" s="43">
        <v>6</v>
      </c>
      <c r="S205" s="43">
        <v>6929200</v>
      </c>
      <c r="T205" s="44">
        <f t="shared" si="18"/>
        <v>4235</v>
      </c>
      <c r="U205" s="44">
        <f t="shared" si="18"/>
        <v>332060500</v>
      </c>
      <c r="V205" s="45">
        <f t="shared" si="19"/>
        <v>0.82474428605630601</v>
      </c>
      <c r="W205" s="44">
        <f t="shared" si="20"/>
        <v>3893</v>
      </c>
      <c r="X205" s="44">
        <f t="shared" si="21"/>
        <v>280794200</v>
      </c>
      <c r="Y205" s="43">
        <f t="shared" si="22"/>
        <v>70348.060621628567</v>
      </c>
      <c r="Z205" s="45">
        <f t="shared" si="23"/>
        <v>2.0867281715229603E-2</v>
      </c>
    </row>
    <row r="206" spans="1:26">
      <c r="A206" s="42" t="s">
        <v>484</v>
      </c>
      <c r="B206" s="42" t="s">
        <v>485</v>
      </c>
      <c r="C206" s="42" t="s">
        <v>13</v>
      </c>
      <c r="D206" s="43">
        <v>489</v>
      </c>
      <c r="E206" s="43">
        <v>57721600</v>
      </c>
      <c r="F206" s="43">
        <v>8734</v>
      </c>
      <c r="G206" s="43">
        <v>2096396850</v>
      </c>
      <c r="H206" s="43"/>
      <c r="I206" s="43"/>
      <c r="J206" s="43"/>
      <c r="K206" s="43"/>
      <c r="L206" s="43">
        <v>1046</v>
      </c>
      <c r="M206" s="43">
        <v>1356954700</v>
      </c>
      <c r="N206" s="43">
        <v>680</v>
      </c>
      <c r="O206" s="43">
        <v>534042300</v>
      </c>
      <c r="P206" s="43">
        <v>39</v>
      </c>
      <c r="Q206" s="43">
        <v>55784900</v>
      </c>
      <c r="R206" s="43">
        <v>327</v>
      </c>
      <c r="S206" s="43">
        <v>767127500</v>
      </c>
      <c r="T206" s="44">
        <f t="shared" si="18"/>
        <v>10269</v>
      </c>
      <c r="U206" s="44">
        <f t="shared" si="18"/>
        <v>3511073150</v>
      </c>
      <c r="V206" s="45">
        <f t="shared" si="19"/>
        <v>0.59708150768661716</v>
      </c>
      <c r="W206" s="44">
        <f t="shared" si="20"/>
        <v>8734</v>
      </c>
      <c r="X206" s="44">
        <f t="shared" si="21"/>
        <v>2863524350</v>
      </c>
      <c r="Y206" s="43">
        <f t="shared" si="22"/>
        <v>240027.11815891915</v>
      </c>
      <c r="Z206" s="45">
        <f t="shared" si="23"/>
        <v>0.21848804260885307</v>
      </c>
    </row>
    <row r="207" spans="1:26">
      <c r="A207" s="42" t="s">
        <v>486</v>
      </c>
      <c r="B207" s="42" t="s">
        <v>487</v>
      </c>
      <c r="C207" s="42" t="s">
        <v>13</v>
      </c>
      <c r="D207" s="43">
        <v>31</v>
      </c>
      <c r="E207" s="43">
        <v>9116500</v>
      </c>
      <c r="F207" s="43">
        <v>747</v>
      </c>
      <c r="G207" s="43">
        <v>788448000</v>
      </c>
      <c r="H207" s="43"/>
      <c r="I207" s="43"/>
      <c r="J207" s="43"/>
      <c r="K207" s="43"/>
      <c r="L207" s="43">
        <v>6</v>
      </c>
      <c r="M207" s="43">
        <v>22047400</v>
      </c>
      <c r="N207" s="43">
        <v>6</v>
      </c>
      <c r="O207" s="43">
        <v>22047400</v>
      </c>
      <c r="P207" s="43"/>
      <c r="Q207" s="43"/>
      <c r="R207" s="43"/>
      <c r="S207" s="43"/>
      <c r="T207" s="44">
        <f t="shared" si="18"/>
        <v>784</v>
      </c>
      <c r="U207" s="44">
        <f t="shared" si="18"/>
        <v>819611900</v>
      </c>
      <c r="V207" s="45">
        <f t="shared" si="19"/>
        <v>0.96197724801213846</v>
      </c>
      <c r="W207" s="44">
        <f t="shared" si="20"/>
        <v>747</v>
      </c>
      <c r="X207" s="44">
        <f t="shared" si="21"/>
        <v>788448000</v>
      </c>
      <c r="Y207" s="43">
        <f t="shared" si="22"/>
        <v>1055485.9437751004</v>
      </c>
      <c r="Z207" s="45">
        <f t="shared" si="23"/>
        <v>0</v>
      </c>
    </row>
    <row r="208" spans="1:26">
      <c r="A208" s="42" t="s">
        <v>488</v>
      </c>
      <c r="B208" s="42" t="s">
        <v>457</v>
      </c>
      <c r="C208" s="42" t="s">
        <v>13</v>
      </c>
      <c r="D208" s="43">
        <v>245</v>
      </c>
      <c r="E208" s="43">
        <v>23548300</v>
      </c>
      <c r="F208" s="43">
        <v>2476</v>
      </c>
      <c r="G208" s="43">
        <v>656158400</v>
      </c>
      <c r="H208" s="43">
        <v>1</v>
      </c>
      <c r="I208" s="43">
        <v>241600</v>
      </c>
      <c r="J208" s="43">
        <v>7</v>
      </c>
      <c r="K208" s="43">
        <v>46600</v>
      </c>
      <c r="L208" s="43">
        <v>686</v>
      </c>
      <c r="M208" s="43">
        <v>885712100</v>
      </c>
      <c r="N208" s="43">
        <v>396</v>
      </c>
      <c r="O208" s="43">
        <v>397923400</v>
      </c>
      <c r="P208" s="43">
        <v>289</v>
      </c>
      <c r="Q208" s="43">
        <v>476087700</v>
      </c>
      <c r="R208" s="43">
        <v>1</v>
      </c>
      <c r="S208" s="43">
        <v>11701000</v>
      </c>
      <c r="T208" s="44">
        <f t="shared" si="18"/>
        <v>3415</v>
      </c>
      <c r="U208" s="44">
        <f t="shared" si="18"/>
        <v>1565707000</v>
      </c>
      <c r="V208" s="45">
        <f t="shared" si="19"/>
        <v>0.41923552746458947</v>
      </c>
      <c r="W208" s="44">
        <f t="shared" si="20"/>
        <v>2477</v>
      </c>
      <c r="X208" s="44">
        <f t="shared" si="21"/>
        <v>668101000</v>
      </c>
      <c r="Y208" s="43">
        <f t="shared" si="22"/>
        <v>264997.98142914817</v>
      </c>
      <c r="Z208" s="45">
        <f t="shared" si="23"/>
        <v>7.4733011987555779E-3</v>
      </c>
    </row>
    <row r="209" spans="1:26">
      <c r="A209" s="42" t="s">
        <v>489</v>
      </c>
      <c r="B209" s="42" t="s">
        <v>490</v>
      </c>
      <c r="C209" s="42" t="s">
        <v>13</v>
      </c>
      <c r="D209" s="43">
        <v>7</v>
      </c>
      <c r="E209" s="43">
        <v>1339900</v>
      </c>
      <c r="F209" s="43">
        <v>2290</v>
      </c>
      <c r="G209" s="43">
        <v>1349284700</v>
      </c>
      <c r="H209" s="43"/>
      <c r="I209" s="43"/>
      <c r="J209" s="43"/>
      <c r="K209" s="43"/>
      <c r="L209" s="43">
        <v>21</v>
      </c>
      <c r="M209" s="43">
        <v>92078000</v>
      </c>
      <c r="N209" s="43">
        <v>18</v>
      </c>
      <c r="O209" s="43">
        <v>66372700</v>
      </c>
      <c r="P209" s="43"/>
      <c r="Q209" s="43"/>
      <c r="R209" s="43">
        <v>3</v>
      </c>
      <c r="S209" s="43">
        <v>25705300</v>
      </c>
      <c r="T209" s="44">
        <f t="shared" si="18"/>
        <v>2318</v>
      </c>
      <c r="U209" s="44">
        <f t="shared" si="18"/>
        <v>1442702600</v>
      </c>
      <c r="V209" s="45">
        <f t="shared" si="19"/>
        <v>0.93524798527430397</v>
      </c>
      <c r="W209" s="44">
        <f t="shared" si="20"/>
        <v>2290</v>
      </c>
      <c r="X209" s="44">
        <f t="shared" si="21"/>
        <v>1374990000</v>
      </c>
      <c r="Y209" s="43">
        <f t="shared" si="22"/>
        <v>589207.29257641919</v>
      </c>
      <c r="Z209" s="45">
        <f t="shared" si="23"/>
        <v>1.7817462864487803E-2</v>
      </c>
    </row>
    <row r="210" spans="1:26">
      <c r="A210" s="42" t="s">
        <v>491</v>
      </c>
      <c r="B210" s="42" t="s">
        <v>492</v>
      </c>
      <c r="C210" s="42" t="s">
        <v>13</v>
      </c>
      <c r="D210" s="43">
        <v>377</v>
      </c>
      <c r="E210" s="43">
        <v>44200000</v>
      </c>
      <c r="F210" s="43">
        <v>7982</v>
      </c>
      <c r="G210" s="43">
        <v>2054786400</v>
      </c>
      <c r="H210" s="43"/>
      <c r="I210" s="43"/>
      <c r="J210" s="43"/>
      <c r="K210" s="43"/>
      <c r="L210" s="43">
        <v>1180</v>
      </c>
      <c r="M210" s="43">
        <v>1111455340</v>
      </c>
      <c r="N210" s="43">
        <v>697</v>
      </c>
      <c r="O210" s="43">
        <v>497265600</v>
      </c>
      <c r="P210" s="43">
        <v>171</v>
      </c>
      <c r="Q210" s="43">
        <v>166783340</v>
      </c>
      <c r="R210" s="43">
        <v>312</v>
      </c>
      <c r="S210" s="43">
        <v>447406400</v>
      </c>
      <c r="T210" s="44">
        <f t="shared" si="18"/>
        <v>9539</v>
      </c>
      <c r="U210" s="44">
        <f t="shared" si="18"/>
        <v>3210441740</v>
      </c>
      <c r="V210" s="45">
        <f t="shared" si="19"/>
        <v>0.64003229661473315</v>
      </c>
      <c r="W210" s="44">
        <f t="shared" si="20"/>
        <v>7982</v>
      </c>
      <c r="X210" s="44">
        <f t="shared" si="21"/>
        <v>2502192800</v>
      </c>
      <c r="Y210" s="43">
        <f t="shared" si="22"/>
        <v>257427.51190177901</v>
      </c>
      <c r="Z210" s="45">
        <f t="shared" si="23"/>
        <v>0.13935976299635328</v>
      </c>
    </row>
    <row r="211" spans="1:26">
      <c r="A211" s="42" t="s">
        <v>493</v>
      </c>
      <c r="B211" s="42" t="s">
        <v>494</v>
      </c>
      <c r="C211" s="42" t="s">
        <v>13</v>
      </c>
      <c r="D211" s="43">
        <v>327</v>
      </c>
      <c r="E211" s="43">
        <v>17553700</v>
      </c>
      <c r="F211" s="43">
        <v>9841</v>
      </c>
      <c r="G211" s="43">
        <v>785266900</v>
      </c>
      <c r="H211" s="43">
        <v>1</v>
      </c>
      <c r="I211" s="43">
        <v>92400</v>
      </c>
      <c r="J211" s="43">
        <v>1</v>
      </c>
      <c r="K211" s="43">
        <v>6000</v>
      </c>
      <c r="L211" s="43">
        <v>335</v>
      </c>
      <c r="M211" s="43">
        <v>157027400</v>
      </c>
      <c r="N211" s="43">
        <v>292</v>
      </c>
      <c r="O211" s="43">
        <v>141261400</v>
      </c>
      <c r="P211" s="43">
        <v>43</v>
      </c>
      <c r="Q211" s="43">
        <v>15766000</v>
      </c>
      <c r="R211" s="43"/>
      <c r="S211" s="43"/>
      <c r="T211" s="44">
        <f t="shared" si="18"/>
        <v>10505</v>
      </c>
      <c r="U211" s="44">
        <f t="shared" si="18"/>
        <v>959946400</v>
      </c>
      <c r="V211" s="45">
        <f t="shared" si="19"/>
        <v>0.81812828299580065</v>
      </c>
      <c r="W211" s="44">
        <f t="shared" si="20"/>
        <v>9842</v>
      </c>
      <c r="X211" s="44">
        <f t="shared" si="21"/>
        <v>785359300</v>
      </c>
      <c r="Y211" s="43">
        <f t="shared" si="22"/>
        <v>79796.718146718151</v>
      </c>
      <c r="Z211" s="45">
        <f t="shared" si="23"/>
        <v>0</v>
      </c>
    </row>
    <row r="212" spans="1:26">
      <c r="A212" s="42" t="s">
        <v>495</v>
      </c>
      <c r="B212" s="42" t="s">
        <v>496</v>
      </c>
      <c r="C212" s="42" t="s">
        <v>13</v>
      </c>
      <c r="D212" s="43">
        <v>43</v>
      </c>
      <c r="E212" s="43">
        <v>4408500</v>
      </c>
      <c r="F212" s="43">
        <v>6869</v>
      </c>
      <c r="G212" s="43">
        <v>1843762400</v>
      </c>
      <c r="H212" s="43"/>
      <c r="I212" s="43"/>
      <c r="J212" s="43"/>
      <c r="K212" s="43"/>
      <c r="L212" s="43">
        <v>352</v>
      </c>
      <c r="M212" s="43">
        <v>206827800</v>
      </c>
      <c r="N212" s="43">
        <v>307</v>
      </c>
      <c r="O212" s="43">
        <v>182742100</v>
      </c>
      <c r="P212" s="43">
        <v>33</v>
      </c>
      <c r="Q212" s="43">
        <v>13710500</v>
      </c>
      <c r="R212" s="43">
        <v>12</v>
      </c>
      <c r="S212" s="43">
        <v>10375200</v>
      </c>
      <c r="T212" s="44">
        <f t="shared" si="18"/>
        <v>7264</v>
      </c>
      <c r="U212" s="44">
        <f t="shared" si="18"/>
        <v>2054998700</v>
      </c>
      <c r="V212" s="45">
        <f t="shared" si="19"/>
        <v>0.89720854811246353</v>
      </c>
      <c r="W212" s="44">
        <f t="shared" si="20"/>
        <v>6869</v>
      </c>
      <c r="X212" s="44">
        <f t="shared" si="21"/>
        <v>1854137600</v>
      </c>
      <c r="Y212" s="43">
        <f t="shared" si="22"/>
        <v>268417.8774202941</v>
      </c>
      <c r="Z212" s="45">
        <f t="shared" si="23"/>
        <v>5.0487623179518316E-3</v>
      </c>
    </row>
    <row r="213" spans="1:26">
      <c r="A213" s="42" t="s">
        <v>497</v>
      </c>
      <c r="B213" s="42" t="s">
        <v>498</v>
      </c>
      <c r="C213" s="42" t="s">
        <v>13</v>
      </c>
      <c r="D213" s="43">
        <v>88</v>
      </c>
      <c r="E213" s="43">
        <v>54678800</v>
      </c>
      <c r="F213" s="43">
        <v>6171</v>
      </c>
      <c r="G213" s="43">
        <v>6714958700</v>
      </c>
      <c r="H213" s="43"/>
      <c r="I213" s="43"/>
      <c r="J213" s="43"/>
      <c r="K213" s="43"/>
      <c r="L213" s="43">
        <v>284</v>
      </c>
      <c r="M213" s="43">
        <v>1538776700</v>
      </c>
      <c r="N213" s="43">
        <v>234</v>
      </c>
      <c r="O213" s="43">
        <v>1421030800</v>
      </c>
      <c r="P213" s="43">
        <v>30</v>
      </c>
      <c r="Q213" s="43">
        <v>48538600</v>
      </c>
      <c r="R213" s="43">
        <v>20</v>
      </c>
      <c r="S213" s="43">
        <v>69207300</v>
      </c>
      <c r="T213" s="44">
        <f t="shared" si="18"/>
        <v>6543</v>
      </c>
      <c r="U213" s="44">
        <f t="shared" si="18"/>
        <v>8308414200</v>
      </c>
      <c r="V213" s="45">
        <f t="shared" si="19"/>
        <v>0.80821183662220408</v>
      </c>
      <c r="W213" s="44">
        <f t="shared" si="20"/>
        <v>6171</v>
      </c>
      <c r="X213" s="44">
        <f t="shared" si="21"/>
        <v>6784166000</v>
      </c>
      <c r="Y213" s="43">
        <f t="shared" si="22"/>
        <v>1088147.5773780586</v>
      </c>
      <c r="Z213" s="45">
        <f t="shared" si="23"/>
        <v>8.3297845213350097E-3</v>
      </c>
    </row>
    <row r="214" spans="1:26">
      <c r="A214" s="42" t="s">
        <v>499</v>
      </c>
      <c r="B214" s="42" t="s">
        <v>500</v>
      </c>
      <c r="C214" s="42" t="s">
        <v>13</v>
      </c>
      <c r="D214" s="43">
        <v>142</v>
      </c>
      <c r="E214" s="43">
        <v>29798800</v>
      </c>
      <c r="F214" s="43">
        <v>9610</v>
      </c>
      <c r="G214" s="43">
        <v>6307313300</v>
      </c>
      <c r="H214" s="43"/>
      <c r="I214" s="43"/>
      <c r="J214" s="43"/>
      <c r="K214" s="43"/>
      <c r="L214" s="43">
        <v>754</v>
      </c>
      <c r="M214" s="43">
        <v>987450200</v>
      </c>
      <c r="N214" s="43">
        <v>589</v>
      </c>
      <c r="O214" s="43">
        <v>692664300</v>
      </c>
      <c r="P214" s="43">
        <v>3</v>
      </c>
      <c r="Q214" s="43">
        <v>5137000</v>
      </c>
      <c r="R214" s="43">
        <v>162</v>
      </c>
      <c r="S214" s="43">
        <v>289648900</v>
      </c>
      <c r="T214" s="44">
        <f t="shared" si="18"/>
        <v>10506</v>
      </c>
      <c r="U214" s="44">
        <f t="shared" si="18"/>
        <v>7324562300</v>
      </c>
      <c r="V214" s="45">
        <f t="shared" si="19"/>
        <v>0.86111811759727952</v>
      </c>
      <c r="W214" s="44">
        <f t="shared" si="20"/>
        <v>9610</v>
      </c>
      <c r="X214" s="44">
        <f t="shared" si="21"/>
        <v>6596962200</v>
      </c>
      <c r="Y214" s="43">
        <f t="shared" si="22"/>
        <v>656328.12695109262</v>
      </c>
      <c r="Z214" s="45">
        <f t="shared" si="23"/>
        <v>3.954487492037579E-2</v>
      </c>
    </row>
    <row r="215" spans="1:26">
      <c r="A215" s="42" t="s">
        <v>501</v>
      </c>
      <c r="B215" s="42" t="s">
        <v>502</v>
      </c>
      <c r="C215" s="42" t="s">
        <v>13</v>
      </c>
      <c r="D215" s="43">
        <v>4668</v>
      </c>
      <c r="E215" s="43">
        <v>476884300</v>
      </c>
      <c r="F215" s="43">
        <v>29216</v>
      </c>
      <c r="G215" s="43">
        <v>5114917500</v>
      </c>
      <c r="H215" s="43"/>
      <c r="I215" s="43"/>
      <c r="J215" s="43"/>
      <c r="K215" s="43"/>
      <c r="L215" s="43">
        <v>7547</v>
      </c>
      <c r="M215" s="43">
        <v>5193458200</v>
      </c>
      <c r="N215" s="43">
        <v>5388</v>
      </c>
      <c r="O215" s="43">
        <v>3545307500</v>
      </c>
      <c r="P215" s="43">
        <v>911</v>
      </c>
      <c r="Q215" s="43">
        <v>897442500</v>
      </c>
      <c r="R215" s="43">
        <v>1248</v>
      </c>
      <c r="S215" s="43">
        <v>750708200</v>
      </c>
      <c r="T215" s="44">
        <f t="shared" si="18"/>
        <v>41431</v>
      </c>
      <c r="U215" s="44">
        <f t="shared" si="18"/>
        <v>10785260000</v>
      </c>
      <c r="V215" s="45">
        <f t="shared" si="19"/>
        <v>0.47425073665354384</v>
      </c>
      <c r="W215" s="44">
        <f t="shared" si="20"/>
        <v>29216</v>
      </c>
      <c r="X215" s="44">
        <f t="shared" si="21"/>
        <v>5865625700</v>
      </c>
      <c r="Y215" s="43">
        <f t="shared" si="22"/>
        <v>175072.47740963855</v>
      </c>
      <c r="Z215" s="45">
        <f t="shared" si="23"/>
        <v>6.9605016476190648E-2</v>
      </c>
    </row>
    <row r="216" spans="1:26">
      <c r="A216" s="42" t="s">
        <v>503</v>
      </c>
      <c r="B216" s="42" t="s">
        <v>504</v>
      </c>
      <c r="C216" s="42" t="s">
        <v>13</v>
      </c>
      <c r="D216" s="43">
        <v>109</v>
      </c>
      <c r="E216" s="43">
        <v>60873600</v>
      </c>
      <c r="F216" s="43">
        <v>2106</v>
      </c>
      <c r="G216" s="43">
        <v>1723979600</v>
      </c>
      <c r="H216" s="43">
        <v>1</v>
      </c>
      <c r="I216" s="43">
        <v>624200</v>
      </c>
      <c r="J216" s="43">
        <v>1</v>
      </c>
      <c r="K216" s="43">
        <v>4000</v>
      </c>
      <c r="L216" s="43">
        <v>15</v>
      </c>
      <c r="M216" s="43">
        <v>35243900</v>
      </c>
      <c r="N216" s="43">
        <v>13</v>
      </c>
      <c r="O216" s="43">
        <v>32327600</v>
      </c>
      <c r="P216" s="43">
        <v>2</v>
      </c>
      <c r="Q216" s="43">
        <v>2916300</v>
      </c>
      <c r="R216" s="43"/>
      <c r="S216" s="43"/>
      <c r="T216" s="44">
        <f t="shared" si="18"/>
        <v>2232</v>
      </c>
      <c r="U216" s="44">
        <f t="shared" si="18"/>
        <v>1820725300</v>
      </c>
      <c r="V216" s="45">
        <f t="shared" si="19"/>
        <v>0.94720702788059241</v>
      </c>
      <c r="W216" s="44">
        <f t="shared" si="20"/>
        <v>2107</v>
      </c>
      <c r="X216" s="44">
        <f t="shared" si="21"/>
        <v>1724603800</v>
      </c>
      <c r="Y216" s="43">
        <f t="shared" si="22"/>
        <v>818511.53298528714</v>
      </c>
      <c r="Z216" s="45">
        <f t="shared" si="23"/>
        <v>0</v>
      </c>
    </row>
    <row r="217" spans="1:26">
      <c r="A217" s="42" t="s">
        <v>505</v>
      </c>
      <c r="B217" s="42" t="s">
        <v>506</v>
      </c>
      <c r="C217" s="42" t="s">
        <v>13</v>
      </c>
      <c r="D217" s="43">
        <v>105</v>
      </c>
      <c r="E217" s="43">
        <v>29946400</v>
      </c>
      <c r="F217" s="43">
        <v>8234</v>
      </c>
      <c r="G217" s="43">
        <v>3335628400</v>
      </c>
      <c r="H217" s="43"/>
      <c r="I217" s="43"/>
      <c r="J217" s="43"/>
      <c r="K217" s="43"/>
      <c r="L217" s="43">
        <v>548</v>
      </c>
      <c r="M217" s="43">
        <v>804516900</v>
      </c>
      <c r="N217" s="43">
        <v>453</v>
      </c>
      <c r="O217" s="43">
        <v>625622300</v>
      </c>
      <c r="P217" s="43">
        <v>27</v>
      </c>
      <c r="Q217" s="43">
        <v>22841600</v>
      </c>
      <c r="R217" s="43">
        <v>68</v>
      </c>
      <c r="S217" s="43">
        <v>156053000</v>
      </c>
      <c r="T217" s="44">
        <f t="shared" si="18"/>
        <v>8887</v>
      </c>
      <c r="U217" s="44">
        <f t="shared" si="18"/>
        <v>4170091700</v>
      </c>
      <c r="V217" s="45">
        <f t="shared" si="19"/>
        <v>0.79989329731046444</v>
      </c>
      <c r="W217" s="44">
        <f t="shared" si="20"/>
        <v>8234</v>
      </c>
      <c r="X217" s="44">
        <f t="shared" si="21"/>
        <v>3491681400</v>
      </c>
      <c r="Y217" s="43">
        <f t="shared" si="22"/>
        <v>405104.25066796213</v>
      </c>
      <c r="Z217" s="45">
        <f t="shared" si="23"/>
        <v>3.7421958850449258E-2</v>
      </c>
    </row>
    <row r="218" spans="1:26">
      <c r="A218" s="42" t="s">
        <v>507</v>
      </c>
      <c r="B218" s="42" t="s">
        <v>508</v>
      </c>
      <c r="C218" s="42" t="s">
        <v>13</v>
      </c>
      <c r="D218" s="43">
        <v>302</v>
      </c>
      <c r="E218" s="43">
        <v>19702700</v>
      </c>
      <c r="F218" s="43">
        <v>4107</v>
      </c>
      <c r="G218" s="43">
        <v>1006023100</v>
      </c>
      <c r="H218" s="43"/>
      <c r="I218" s="43"/>
      <c r="J218" s="43"/>
      <c r="K218" s="43"/>
      <c r="L218" s="43">
        <v>730</v>
      </c>
      <c r="M218" s="43">
        <v>584875000</v>
      </c>
      <c r="N218" s="43">
        <v>508</v>
      </c>
      <c r="O218" s="43">
        <v>275715000</v>
      </c>
      <c r="P218" s="43">
        <v>53</v>
      </c>
      <c r="Q218" s="43">
        <v>48352400</v>
      </c>
      <c r="R218" s="43">
        <v>169</v>
      </c>
      <c r="S218" s="43">
        <v>260807600</v>
      </c>
      <c r="T218" s="44">
        <f t="shared" si="18"/>
        <v>5139</v>
      </c>
      <c r="U218" s="44">
        <f t="shared" si="18"/>
        <v>1610600800</v>
      </c>
      <c r="V218" s="45">
        <f t="shared" si="19"/>
        <v>0.62462597808221632</v>
      </c>
      <c r="W218" s="44">
        <f t="shared" si="20"/>
        <v>4107</v>
      </c>
      <c r="X218" s="44">
        <f t="shared" si="21"/>
        <v>1266830700</v>
      </c>
      <c r="Y218" s="43">
        <f t="shared" si="22"/>
        <v>244953.27489651815</v>
      </c>
      <c r="Z218" s="45">
        <f t="shared" si="23"/>
        <v>0.16193187039271309</v>
      </c>
    </row>
    <row r="219" spans="1:26">
      <c r="A219" s="42" t="s">
        <v>509</v>
      </c>
      <c r="B219" s="42" t="s">
        <v>510</v>
      </c>
      <c r="C219" s="42" t="s">
        <v>13</v>
      </c>
      <c r="D219" s="43">
        <v>60</v>
      </c>
      <c r="E219" s="43">
        <v>1670300</v>
      </c>
      <c r="F219" s="43">
        <v>2057</v>
      </c>
      <c r="G219" s="43">
        <v>130740741</v>
      </c>
      <c r="H219" s="43"/>
      <c r="I219" s="43"/>
      <c r="J219" s="43">
        <v>1</v>
      </c>
      <c r="K219" s="43">
        <v>3500</v>
      </c>
      <c r="L219" s="43">
        <v>88</v>
      </c>
      <c r="M219" s="43">
        <v>107007300</v>
      </c>
      <c r="N219" s="43">
        <v>63</v>
      </c>
      <c r="O219" s="43">
        <v>87252700</v>
      </c>
      <c r="P219" s="43">
        <v>24</v>
      </c>
      <c r="Q219" s="43">
        <v>12437700</v>
      </c>
      <c r="R219" s="43">
        <v>1</v>
      </c>
      <c r="S219" s="43">
        <v>7316900</v>
      </c>
      <c r="T219" s="44">
        <f t="shared" si="18"/>
        <v>2206</v>
      </c>
      <c r="U219" s="44">
        <f t="shared" si="18"/>
        <v>239421841</v>
      </c>
      <c r="V219" s="45">
        <f t="shared" si="19"/>
        <v>0.5460685643963451</v>
      </c>
      <c r="W219" s="44">
        <f t="shared" si="20"/>
        <v>2057</v>
      </c>
      <c r="X219" s="44">
        <f t="shared" si="21"/>
        <v>138057641</v>
      </c>
      <c r="Y219" s="43">
        <f t="shared" si="22"/>
        <v>63558.940690325719</v>
      </c>
      <c r="Z219" s="45">
        <f t="shared" si="23"/>
        <v>3.0560703941792847E-2</v>
      </c>
    </row>
    <row r="220" spans="1:26">
      <c r="A220" s="42" t="s">
        <v>511</v>
      </c>
      <c r="B220" s="42" t="s">
        <v>512</v>
      </c>
      <c r="C220" s="42" t="s">
        <v>13</v>
      </c>
      <c r="D220" s="43">
        <v>55</v>
      </c>
      <c r="E220" s="43">
        <v>29170800</v>
      </c>
      <c r="F220" s="43">
        <v>4361</v>
      </c>
      <c r="G220" s="43">
        <v>2560908700</v>
      </c>
      <c r="H220" s="43"/>
      <c r="I220" s="43"/>
      <c r="J220" s="43"/>
      <c r="K220" s="43"/>
      <c r="L220" s="43">
        <v>210</v>
      </c>
      <c r="M220" s="43">
        <v>270225200</v>
      </c>
      <c r="N220" s="43">
        <v>178</v>
      </c>
      <c r="O220" s="43">
        <v>193548500</v>
      </c>
      <c r="P220" s="43">
        <v>6</v>
      </c>
      <c r="Q220" s="43">
        <v>3135000</v>
      </c>
      <c r="R220" s="43">
        <v>26</v>
      </c>
      <c r="S220" s="43">
        <v>73541700</v>
      </c>
      <c r="T220" s="44">
        <f t="shared" si="18"/>
        <v>4626</v>
      </c>
      <c r="U220" s="44">
        <f t="shared" si="18"/>
        <v>2860304700</v>
      </c>
      <c r="V220" s="45">
        <f t="shared" si="19"/>
        <v>0.89532723559136895</v>
      </c>
      <c r="W220" s="44">
        <f t="shared" si="20"/>
        <v>4361</v>
      </c>
      <c r="X220" s="44">
        <f t="shared" si="21"/>
        <v>2634450400</v>
      </c>
      <c r="Y220" s="43">
        <f t="shared" si="22"/>
        <v>587229.69502407708</v>
      </c>
      <c r="Z220" s="45">
        <f t="shared" si="23"/>
        <v>2.5711141893379402E-2</v>
      </c>
    </row>
    <row r="221" spans="1:26">
      <c r="A221" s="42" t="s">
        <v>513</v>
      </c>
      <c r="B221" s="42" t="s">
        <v>514</v>
      </c>
      <c r="C221" s="42" t="s">
        <v>13</v>
      </c>
      <c r="D221" s="43">
        <v>80</v>
      </c>
      <c r="E221" s="43">
        <v>4462900</v>
      </c>
      <c r="F221" s="43">
        <v>4824</v>
      </c>
      <c r="G221" s="43">
        <v>442316900</v>
      </c>
      <c r="H221" s="43"/>
      <c r="I221" s="43"/>
      <c r="J221" s="43"/>
      <c r="K221" s="43"/>
      <c r="L221" s="43">
        <v>202</v>
      </c>
      <c r="M221" s="43">
        <v>57610400</v>
      </c>
      <c r="N221" s="43">
        <v>184</v>
      </c>
      <c r="O221" s="43">
        <v>47898700</v>
      </c>
      <c r="P221" s="43">
        <v>6</v>
      </c>
      <c r="Q221" s="43">
        <v>2098100</v>
      </c>
      <c r="R221" s="43">
        <v>12</v>
      </c>
      <c r="S221" s="43">
        <v>7613600</v>
      </c>
      <c r="T221" s="44">
        <f t="shared" si="18"/>
        <v>5106</v>
      </c>
      <c r="U221" s="44">
        <f t="shared" si="18"/>
        <v>504390200</v>
      </c>
      <c r="V221" s="45">
        <f t="shared" si="19"/>
        <v>0.87693396897877873</v>
      </c>
      <c r="W221" s="44">
        <f t="shared" si="20"/>
        <v>4824</v>
      </c>
      <c r="X221" s="44">
        <f t="shared" si="21"/>
        <v>449930500</v>
      </c>
      <c r="Y221" s="43">
        <f t="shared" si="22"/>
        <v>91690.899668325044</v>
      </c>
      <c r="Z221" s="45">
        <f t="shared" si="23"/>
        <v>1.5094662822552857E-2</v>
      </c>
    </row>
    <row r="222" spans="1:26">
      <c r="A222" s="42" t="s">
        <v>515</v>
      </c>
      <c r="B222" s="42" t="s">
        <v>516</v>
      </c>
      <c r="C222" s="42" t="s">
        <v>13</v>
      </c>
      <c r="D222" s="43">
        <v>81</v>
      </c>
      <c r="E222" s="43">
        <v>7707200</v>
      </c>
      <c r="F222" s="43">
        <v>3497</v>
      </c>
      <c r="G222" s="43">
        <v>777413400</v>
      </c>
      <c r="H222" s="43"/>
      <c r="I222" s="43"/>
      <c r="J222" s="43">
        <v>6</v>
      </c>
      <c r="K222" s="43">
        <v>81400</v>
      </c>
      <c r="L222" s="43">
        <v>226</v>
      </c>
      <c r="M222" s="43">
        <v>353320900</v>
      </c>
      <c r="N222" s="43">
        <v>154</v>
      </c>
      <c r="O222" s="43">
        <v>162519000</v>
      </c>
      <c r="P222" s="43">
        <v>66</v>
      </c>
      <c r="Q222" s="43">
        <v>182895200</v>
      </c>
      <c r="R222" s="43">
        <v>6</v>
      </c>
      <c r="S222" s="43">
        <v>7906700</v>
      </c>
      <c r="T222" s="44">
        <f t="shared" si="18"/>
        <v>3810</v>
      </c>
      <c r="U222" s="44">
        <f t="shared" si="18"/>
        <v>1138522900</v>
      </c>
      <c r="V222" s="45">
        <f t="shared" si="19"/>
        <v>0.68282631820580864</v>
      </c>
      <c r="W222" s="44">
        <f t="shared" si="20"/>
        <v>3497</v>
      </c>
      <c r="X222" s="44">
        <f t="shared" si="21"/>
        <v>785320100</v>
      </c>
      <c r="Y222" s="43">
        <f t="shared" si="22"/>
        <v>222308.6645696311</v>
      </c>
      <c r="Z222" s="45">
        <f t="shared" si="23"/>
        <v>6.9447000143782788E-3</v>
      </c>
    </row>
    <row r="223" spans="1:26">
      <c r="A223" s="42" t="s">
        <v>517</v>
      </c>
      <c r="B223" s="42" t="s">
        <v>518</v>
      </c>
      <c r="C223" s="42" t="s">
        <v>13</v>
      </c>
      <c r="D223" s="43">
        <v>593</v>
      </c>
      <c r="E223" s="43">
        <v>24871000</v>
      </c>
      <c r="F223" s="43">
        <v>12991</v>
      </c>
      <c r="G223" s="43">
        <v>1230142100</v>
      </c>
      <c r="H223" s="43"/>
      <c r="I223" s="43"/>
      <c r="J223" s="43"/>
      <c r="K223" s="43"/>
      <c r="L223" s="43">
        <v>510</v>
      </c>
      <c r="M223" s="43">
        <v>289380000</v>
      </c>
      <c r="N223" s="43">
        <v>429</v>
      </c>
      <c r="O223" s="43">
        <v>239154000</v>
      </c>
      <c r="P223" s="43">
        <v>39</v>
      </c>
      <c r="Q223" s="43">
        <v>9370900</v>
      </c>
      <c r="R223" s="43">
        <v>42</v>
      </c>
      <c r="S223" s="43">
        <v>40855100</v>
      </c>
      <c r="T223" s="44">
        <f t="shared" si="18"/>
        <v>14094</v>
      </c>
      <c r="U223" s="44">
        <f t="shared" si="18"/>
        <v>1544393100</v>
      </c>
      <c r="V223" s="45">
        <f t="shared" si="19"/>
        <v>0.79652136492969305</v>
      </c>
      <c r="W223" s="44">
        <f t="shared" si="20"/>
        <v>12991</v>
      </c>
      <c r="X223" s="44">
        <f t="shared" si="21"/>
        <v>1270997200</v>
      </c>
      <c r="Y223" s="43">
        <f t="shared" si="22"/>
        <v>94691.871295512276</v>
      </c>
      <c r="Z223" s="45">
        <f t="shared" si="23"/>
        <v>2.6453821892884654E-2</v>
      </c>
    </row>
    <row r="224" spans="1:26">
      <c r="A224" s="42" t="s">
        <v>519</v>
      </c>
      <c r="B224" s="42" t="s">
        <v>520</v>
      </c>
      <c r="C224" s="42" t="s">
        <v>14</v>
      </c>
      <c r="D224" s="43">
        <v>625</v>
      </c>
      <c r="E224" s="43">
        <v>8326500</v>
      </c>
      <c r="F224" s="43">
        <v>2476</v>
      </c>
      <c r="G224" s="43">
        <v>238900800</v>
      </c>
      <c r="H224" s="43">
        <v>15</v>
      </c>
      <c r="I224" s="43">
        <v>1751800</v>
      </c>
      <c r="J224" s="43">
        <v>34</v>
      </c>
      <c r="K224" s="43">
        <v>389900</v>
      </c>
      <c r="L224" s="43">
        <v>102</v>
      </c>
      <c r="M224" s="43">
        <v>32034900</v>
      </c>
      <c r="N224" s="43">
        <v>79</v>
      </c>
      <c r="O224" s="43">
        <v>13844400</v>
      </c>
      <c r="P224" s="43">
        <v>14</v>
      </c>
      <c r="Q224" s="43">
        <v>11967800</v>
      </c>
      <c r="R224" s="43">
        <v>9</v>
      </c>
      <c r="S224" s="43">
        <v>6222700</v>
      </c>
      <c r="T224" s="44">
        <f t="shared" si="18"/>
        <v>3252</v>
      </c>
      <c r="U224" s="44">
        <f t="shared" si="18"/>
        <v>281403900</v>
      </c>
      <c r="V224" s="45">
        <f t="shared" si="19"/>
        <v>0.85518573125674524</v>
      </c>
      <c r="W224" s="44">
        <f t="shared" si="20"/>
        <v>2491</v>
      </c>
      <c r="X224" s="44">
        <f t="shared" si="21"/>
        <v>246875300</v>
      </c>
      <c r="Y224" s="43">
        <f t="shared" si="22"/>
        <v>96608.831794460057</v>
      </c>
      <c r="Z224" s="45">
        <f t="shared" si="23"/>
        <v>2.2113055291699938E-2</v>
      </c>
    </row>
    <row r="225" spans="1:26">
      <c r="A225" s="42" t="s">
        <v>521</v>
      </c>
      <c r="B225" s="42" t="s">
        <v>522</v>
      </c>
      <c r="C225" s="42" t="s">
        <v>14</v>
      </c>
      <c r="D225" s="43">
        <v>1653</v>
      </c>
      <c r="E225" s="43">
        <v>42448900</v>
      </c>
      <c r="F225" s="43">
        <v>9851</v>
      </c>
      <c r="G225" s="43">
        <v>1117506900</v>
      </c>
      <c r="H225" s="43">
        <v>61</v>
      </c>
      <c r="I225" s="43">
        <v>6236500</v>
      </c>
      <c r="J225" s="43">
        <v>134</v>
      </c>
      <c r="K225" s="43">
        <v>419900</v>
      </c>
      <c r="L225" s="43">
        <v>381</v>
      </c>
      <c r="M225" s="43">
        <v>537047660</v>
      </c>
      <c r="N225" s="43">
        <v>339</v>
      </c>
      <c r="O225" s="43">
        <v>473462260</v>
      </c>
      <c r="P225" s="43">
        <v>28</v>
      </c>
      <c r="Q225" s="43">
        <v>10001000</v>
      </c>
      <c r="R225" s="43">
        <v>14</v>
      </c>
      <c r="S225" s="43">
        <v>53584400</v>
      </c>
      <c r="T225" s="44">
        <f t="shared" si="18"/>
        <v>12080</v>
      </c>
      <c r="U225" s="44">
        <f t="shared" si="18"/>
        <v>1703659860</v>
      </c>
      <c r="V225" s="45">
        <f t="shared" si="19"/>
        <v>0.65960549190846107</v>
      </c>
      <c r="W225" s="44">
        <f t="shared" si="20"/>
        <v>9912</v>
      </c>
      <c r="X225" s="44">
        <f t="shared" si="21"/>
        <v>1177327800</v>
      </c>
      <c r="Y225" s="43">
        <f t="shared" si="22"/>
        <v>113372.01372074253</v>
      </c>
      <c r="Z225" s="45">
        <f t="shared" si="23"/>
        <v>3.1452522453631088E-2</v>
      </c>
    </row>
    <row r="226" spans="1:26">
      <c r="A226" s="42" t="s">
        <v>523</v>
      </c>
      <c r="B226" s="42" t="s">
        <v>524</v>
      </c>
      <c r="C226" s="42" t="s">
        <v>14</v>
      </c>
      <c r="D226" s="43">
        <v>791</v>
      </c>
      <c r="E226" s="43">
        <v>24720000</v>
      </c>
      <c r="F226" s="43">
        <v>2680</v>
      </c>
      <c r="G226" s="43">
        <v>434840200</v>
      </c>
      <c r="H226" s="43">
        <v>98</v>
      </c>
      <c r="I226" s="43">
        <v>15307700</v>
      </c>
      <c r="J226" s="43">
        <v>222</v>
      </c>
      <c r="K226" s="43">
        <v>2429900</v>
      </c>
      <c r="L226" s="43">
        <v>94</v>
      </c>
      <c r="M226" s="43">
        <v>42125500</v>
      </c>
      <c r="N226" s="43">
        <v>64</v>
      </c>
      <c r="O226" s="43">
        <v>27791300</v>
      </c>
      <c r="P226" s="43">
        <v>23</v>
      </c>
      <c r="Q226" s="43">
        <v>12534600</v>
      </c>
      <c r="R226" s="43">
        <v>7</v>
      </c>
      <c r="S226" s="43">
        <v>1799600</v>
      </c>
      <c r="T226" s="44">
        <f t="shared" si="18"/>
        <v>3885</v>
      </c>
      <c r="U226" s="44">
        <f t="shared" si="18"/>
        <v>519423300</v>
      </c>
      <c r="V226" s="45">
        <f t="shared" si="19"/>
        <v>0.86663016464606035</v>
      </c>
      <c r="W226" s="44">
        <f t="shared" si="20"/>
        <v>2778</v>
      </c>
      <c r="X226" s="44">
        <f t="shared" si="21"/>
        <v>451947500</v>
      </c>
      <c r="Y226" s="43">
        <f t="shared" si="22"/>
        <v>162040.28077753779</v>
      </c>
      <c r="Z226" s="45">
        <f t="shared" si="23"/>
        <v>3.4646116183082278E-3</v>
      </c>
    </row>
    <row r="227" spans="1:26">
      <c r="A227" s="42" t="s">
        <v>525</v>
      </c>
      <c r="B227" s="42" t="s">
        <v>526</v>
      </c>
      <c r="C227" s="42" t="s">
        <v>14</v>
      </c>
      <c r="D227" s="43">
        <v>514</v>
      </c>
      <c r="E227" s="43">
        <v>24226600</v>
      </c>
      <c r="F227" s="43">
        <v>1321</v>
      </c>
      <c r="G227" s="43">
        <v>304093100</v>
      </c>
      <c r="H227" s="43">
        <v>106</v>
      </c>
      <c r="I227" s="43">
        <v>25243000</v>
      </c>
      <c r="J227" s="43">
        <v>267</v>
      </c>
      <c r="K227" s="43">
        <v>4324100</v>
      </c>
      <c r="L227" s="43">
        <v>58</v>
      </c>
      <c r="M227" s="43">
        <v>26623200</v>
      </c>
      <c r="N227" s="43">
        <v>57</v>
      </c>
      <c r="O227" s="43">
        <v>25485800</v>
      </c>
      <c r="P227" s="43">
        <v>1</v>
      </c>
      <c r="Q227" s="43">
        <v>1137400</v>
      </c>
      <c r="R227" s="43"/>
      <c r="S227" s="43"/>
      <c r="T227" s="44">
        <f t="shared" si="18"/>
        <v>2266</v>
      </c>
      <c r="U227" s="44">
        <f t="shared" si="18"/>
        <v>384510000</v>
      </c>
      <c r="V227" s="45">
        <f t="shared" si="19"/>
        <v>0.85650854334087545</v>
      </c>
      <c r="W227" s="44">
        <f t="shared" si="20"/>
        <v>1427</v>
      </c>
      <c r="X227" s="44">
        <f t="shared" si="21"/>
        <v>329336100</v>
      </c>
      <c r="Y227" s="43">
        <f t="shared" si="22"/>
        <v>230789.13805185704</v>
      </c>
      <c r="Z227" s="45">
        <f t="shared" si="23"/>
        <v>0</v>
      </c>
    </row>
    <row r="228" spans="1:26">
      <c r="A228" s="42" t="s">
        <v>527</v>
      </c>
      <c r="B228" s="42" t="s">
        <v>528</v>
      </c>
      <c r="C228" s="42" t="s">
        <v>14</v>
      </c>
      <c r="D228" s="43">
        <v>1087</v>
      </c>
      <c r="E228" s="43">
        <v>25204900</v>
      </c>
      <c r="F228" s="43">
        <v>5446</v>
      </c>
      <c r="G228" s="43">
        <v>656497100</v>
      </c>
      <c r="H228" s="43">
        <v>303</v>
      </c>
      <c r="I228" s="43">
        <v>34245100</v>
      </c>
      <c r="J228" s="43">
        <v>721</v>
      </c>
      <c r="K228" s="43">
        <v>5323100</v>
      </c>
      <c r="L228" s="43">
        <v>311</v>
      </c>
      <c r="M228" s="43">
        <v>61572200</v>
      </c>
      <c r="N228" s="43">
        <v>303</v>
      </c>
      <c r="O228" s="43">
        <v>59615100</v>
      </c>
      <c r="P228" s="43"/>
      <c r="Q228" s="43"/>
      <c r="R228" s="43">
        <v>8</v>
      </c>
      <c r="S228" s="43">
        <v>1957100</v>
      </c>
      <c r="T228" s="44">
        <f t="shared" si="18"/>
        <v>7868</v>
      </c>
      <c r="U228" s="44">
        <f t="shared" si="18"/>
        <v>782842400</v>
      </c>
      <c r="V228" s="45">
        <f t="shared" si="19"/>
        <v>0.88235154355461587</v>
      </c>
      <c r="W228" s="44">
        <f t="shared" si="20"/>
        <v>5749</v>
      </c>
      <c r="X228" s="44">
        <f t="shared" si="21"/>
        <v>692699300</v>
      </c>
      <c r="Y228" s="43">
        <f t="shared" si="22"/>
        <v>120149.97390850582</v>
      </c>
      <c r="Z228" s="45">
        <f t="shared" si="23"/>
        <v>2.4999923356220869E-3</v>
      </c>
    </row>
    <row r="229" spans="1:26">
      <c r="A229" s="42" t="s">
        <v>529</v>
      </c>
      <c r="B229" s="42" t="s">
        <v>530</v>
      </c>
      <c r="C229" s="42" t="s">
        <v>14</v>
      </c>
      <c r="D229" s="43">
        <v>1035</v>
      </c>
      <c r="E229" s="43">
        <v>22372600</v>
      </c>
      <c r="F229" s="43">
        <v>4717</v>
      </c>
      <c r="G229" s="43">
        <v>506459500</v>
      </c>
      <c r="H229" s="43">
        <v>13</v>
      </c>
      <c r="I229" s="43">
        <v>1817100</v>
      </c>
      <c r="J229" s="43">
        <v>34</v>
      </c>
      <c r="K229" s="43">
        <v>146500</v>
      </c>
      <c r="L229" s="43">
        <v>294</v>
      </c>
      <c r="M229" s="43">
        <v>140560000</v>
      </c>
      <c r="N229" s="43">
        <v>254</v>
      </c>
      <c r="O229" s="43">
        <v>103369100</v>
      </c>
      <c r="P229" s="43">
        <v>9</v>
      </c>
      <c r="Q229" s="43">
        <v>8641200</v>
      </c>
      <c r="R229" s="43">
        <v>31</v>
      </c>
      <c r="S229" s="43">
        <v>28549700</v>
      </c>
      <c r="T229" s="44">
        <f t="shared" si="18"/>
        <v>6093</v>
      </c>
      <c r="U229" s="44">
        <f t="shared" si="18"/>
        <v>671355700</v>
      </c>
      <c r="V229" s="45">
        <f t="shared" si="19"/>
        <v>0.75708987054105592</v>
      </c>
      <c r="W229" s="44">
        <f t="shared" si="20"/>
        <v>4730</v>
      </c>
      <c r="X229" s="44">
        <f t="shared" si="21"/>
        <v>536826300</v>
      </c>
      <c r="Y229" s="43">
        <f t="shared" si="22"/>
        <v>107458.05496828753</v>
      </c>
      <c r="Z229" s="45">
        <f t="shared" si="23"/>
        <v>4.2525445155228443E-2</v>
      </c>
    </row>
    <row r="230" spans="1:26">
      <c r="A230" s="42" t="s">
        <v>531</v>
      </c>
      <c r="B230" s="42" t="s">
        <v>459</v>
      </c>
      <c r="C230" s="42" t="s">
        <v>14</v>
      </c>
      <c r="D230" s="43">
        <v>196</v>
      </c>
      <c r="E230" s="43">
        <v>8429087</v>
      </c>
      <c r="F230" s="43">
        <v>1827</v>
      </c>
      <c r="G230" s="43">
        <v>186019750</v>
      </c>
      <c r="H230" s="43">
        <v>9</v>
      </c>
      <c r="I230" s="43">
        <v>854200</v>
      </c>
      <c r="J230" s="43">
        <v>46</v>
      </c>
      <c r="K230" s="43">
        <v>491600</v>
      </c>
      <c r="L230" s="43">
        <v>83</v>
      </c>
      <c r="M230" s="43">
        <v>350595064</v>
      </c>
      <c r="N230" s="43">
        <v>61</v>
      </c>
      <c r="O230" s="43">
        <v>27480500</v>
      </c>
      <c r="P230" s="43">
        <v>19</v>
      </c>
      <c r="Q230" s="43">
        <v>322704264</v>
      </c>
      <c r="R230" s="43">
        <v>3</v>
      </c>
      <c r="S230" s="43">
        <v>410300</v>
      </c>
      <c r="T230" s="44">
        <f t="shared" si="18"/>
        <v>2161</v>
      </c>
      <c r="U230" s="44">
        <f t="shared" si="18"/>
        <v>546389701</v>
      </c>
      <c r="V230" s="45">
        <f t="shared" si="19"/>
        <v>0.34201587192801058</v>
      </c>
      <c r="W230" s="44">
        <f t="shared" si="20"/>
        <v>1836</v>
      </c>
      <c r="X230" s="44">
        <f t="shared" si="21"/>
        <v>187284250</v>
      </c>
      <c r="Y230" s="43">
        <f t="shared" si="22"/>
        <v>101783.19716775599</v>
      </c>
      <c r="Z230" s="45">
        <f t="shared" si="23"/>
        <v>7.5092923466359412E-4</v>
      </c>
    </row>
    <row r="231" spans="1:26">
      <c r="A231" s="42" t="s">
        <v>532</v>
      </c>
      <c r="B231" s="42" t="s">
        <v>533</v>
      </c>
      <c r="C231" s="42" t="s">
        <v>14</v>
      </c>
      <c r="D231" s="43">
        <v>530</v>
      </c>
      <c r="E231" s="43">
        <v>27451400</v>
      </c>
      <c r="F231" s="43">
        <v>3562</v>
      </c>
      <c r="G231" s="43">
        <v>706145500</v>
      </c>
      <c r="H231" s="43">
        <v>105</v>
      </c>
      <c r="I231" s="43">
        <v>19247600</v>
      </c>
      <c r="J231" s="43">
        <v>237</v>
      </c>
      <c r="K231" s="43">
        <v>3046700</v>
      </c>
      <c r="L231" s="43">
        <v>114</v>
      </c>
      <c r="M231" s="43">
        <v>45760600</v>
      </c>
      <c r="N231" s="43">
        <v>111</v>
      </c>
      <c r="O231" s="43">
        <v>41229100</v>
      </c>
      <c r="P231" s="43"/>
      <c r="Q231" s="43"/>
      <c r="R231" s="43">
        <v>3</v>
      </c>
      <c r="S231" s="43">
        <v>4531500</v>
      </c>
      <c r="T231" s="44">
        <f t="shared" si="18"/>
        <v>4548</v>
      </c>
      <c r="U231" s="44">
        <f t="shared" si="18"/>
        <v>801651800</v>
      </c>
      <c r="V231" s="45">
        <f t="shared" si="19"/>
        <v>0.90487303839397604</v>
      </c>
      <c r="W231" s="44">
        <f t="shared" si="20"/>
        <v>3667</v>
      </c>
      <c r="X231" s="44">
        <f t="shared" si="21"/>
        <v>729924600</v>
      </c>
      <c r="Y231" s="43">
        <f t="shared" si="22"/>
        <v>197816.49850013634</v>
      </c>
      <c r="Z231" s="45">
        <f t="shared" si="23"/>
        <v>5.6527035802826113E-3</v>
      </c>
    </row>
    <row r="232" spans="1:26">
      <c r="A232" s="42" t="s">
        <v>534</v>
      </c>
      <c r="B232" s="42" t="s">
        <v>535</v>
      </c>
      <c r="C232" s="42" t="s">
        <v>14</v>
      </c>
      <c r="D232" s="43">
        <v>515</v>
      </c>
      <c r="E232" s="43">
        <v>13990100</v>
      </c>
      <c r="F232" s="43">
        <v>2058</v>
      </c>
      <c r="G232" s="43">
        <v>215398700</v>
      </c>
      <c r="H232" s="43">
        <v>49</v>
      </c>
      <c r="I232" s="43">
        <v>5011200</v>
      </c>
      <c r="J232" s="43">
        <v>186</v>
      </c>
      <c r="K232" s="43">
        <v>3208400</v>
      </c>
      <c r="L232" s="43">
        <v>160</v>
      </c>
      <c r="M232" s="43">
        <v>380463890</v>
      </c>
      <c r="N232" s="43">
        <v>144</v>
      </c>
      <c r="O232" s="43">
        <v>334464800</v>
      </c>
      <c r="P232" s="43">
        <v>15</v>
      </c>
      <c r="Q232" s="43">
        <v>45871890</v>
      </c>
      <c r="R232" s="43">
        <v>1</v>
      </c>
      <c r="S232" s="43">
        <v>127200</v>
      </c>
      <c r="T232" s="44">
        <f t="shared" si="18"/>
        <v>2968</v>
      </c>
      <c r="U232" s="44">
        <f t="shared" si="18"/>
        <v>618072290</v>
      </c>
      <c r="V232" s="45">
        <f t="shared" si="19"/>
        <v>0.3566086096498518</v>
      </c>
      <c r="W232" s="44">
        <f t="shared" si="20"/>
        <v>2107</v>
      </c>
      <c r="X232" s="44">
        <f t="shared" si="21"/>
        <v>220537100</v>
      </c>
      <c r="Y232" s="43">
        <f t="shared" si="22"/>
        <v>104608.40056953013</v>
      </c>
      <c r="Z232" s="45">
        <f t="shared" si="23"/>
        <v>2.0580116930982297E-4</v>
      </c>
    </row>
    <row r="233" spans="1:26">
      <c r="A233" s="42" t="s">
        <v>536</v>
      </c>
      <c r="B233" s="42" t="s">
        <v>537</v>
      </c>
      <c r="C233" s="42" t="s">
        <v>14</v>
      </c>
      <c r="D233" s="43">
        <v>521</v>
      </c>
      <c r="E233" s="43">
        <v>17614100</v>
      </c>
      <c r="F233" s="43">
        <v>5222</v>
      </c>
      <c r="G233" s="43">
        <v>636102700</v>
      </c>
      <c r="H233" s="43">
        <v>89</v>
      </c>
      <c r="I233" s="43">
        <v>14432000</v>
      </c>
      <c r="J233" s="43">
        <v>176</v>
      </c>
      <c r="K233" s="43">
        <v>1236400</v>
      </c>
      <c r="L233" s="43">
        <v>172</v>
      </c>
      <c r="M233" s="43">
        <v>83718300</v>
      </c>
      <c r="N233" s="43">
        <v>162</v>
      </c>
      <c r="O233" s="43">
        <v>74828500</v>
      </c>
      <c r="P233" s="43">
        <v>7</v>
      </c>
      <c r="Q233" s="43">
        <v>7217800</v>
      </c>
      <c r="R233" s="43">
        <v>3</v>
      </c>
      <c r="S233" s="43">
        <v>1672000</v>
      </c>
      <c r="T233" s="44">
        <f t="shared" si="18"/>
        <v>6180</v>
      </c>
      <c r="U233" s="44">
        <f t="shared" si="18"/>
        <v>753103500</v>
      </c>
      <c r="V233" s="45">
        <f t="shared" si="19"/>
        <v>0.8638051741892051</v>
      </c>
      <c r="W233" s="44">
        <f t="shared" si="20"/>
        <v>5311</v>
      </c>
      <c r="X233" s="44">
        <f t="shared" si="21"/>
        <v>652206700</v>
      </c>
      <c r="Y233" s="43">
        <f t="shared" si="22"/>
        <v>122488.17548484278</v>
      </c>
      <c r="Z233" s="45">
        <f t="shared" si="23"/>
        <v>2.2201463676639398E-3</v>
      </c>
    </row>
    <row r="234" spans="1:26">
      <c r="A234" s="42" t="s">
        <v>538</v>
      </c>
      <c r="B234" s="42" t="s">
        <v>539</v>
      </c>
      <c r="C234" s="42" t="s">
        <v>14</v>
      </c>
      <c r="D234" s="43">
        <v>2048</v>
      </c>
      <c r="E234" s="43">
        <v>101403000</v>
      </c>
      <c r="F234" s="43">
        <v>10395</v>
      </c>
      <c r="G234" s="43">
        <v>2362935700</v>
      </c>
      <c r="H234" s="43">
        <v>142</v>
      </c>
      <c r="I234" s="43">
        <v>30260300</v>
      </c>
      <c r="J234" s="43">
        <v>329</v>
      </c>
      <c r="K234" s="43">
        <v>2186800</v>
      </c>
      <c r="L234" s="43">
        <v>436</v>
      </c>
      <c r="M234" s="43">
        <v>345741100</v>
      </c>
      <c r="N234" s="43">
        <v>406</v>
      </c>
      <c r="O234" s="43">
        <v>294745400</v>
      </c>
      <c r="P234" s="43">
        <v>16</v>
      </c>
      <c r="Q234" s="43">
        <v>14488100</v>
      </c>
      <c r="R234" s="43">
        <v>14</v>
      </c>
      <c r="S234" s="43">
        <v>36507600</v>
      </c>
      <c r="T234" s="44">
        <f t="shared" si="18"/>
        <v>13350</v>
      </c>
      <c r="U234" s="44">
        <f t="shared" si="18"/>
        <v>2842526900</v>
      </c>
      <c r="V234" s="45">
        <f t="shared" si="19"/>
        <v>0.84192554167209466</v>
      </c>
      <c r="W234" s="44">
        <f t="shared" si="20"/>
        <v>10537</v>
      </c>
      <c r="X234" s="44">
        <f t="shared" si="21"/>
        <v>2429703600</v>
      </c>
      <c r="Y234" s="43">
        <f t="shared" si="22"/>
        <v>227123.09006358546</v>
      </c>
      <c r="Z234" s="45">
        <f t="shared" si="23"/>
        <v>1.284336130644885E-2</v>
      </c>
    </row>
    <row r="235" spans="1:26">
      <c r="A235" s="42" t="s">
        <v>540</v>
      </c>
      <c r="B235" s="42" t="s">
        <v>541</v>
      </c>
      <c r="C235" s="42" t="s">
        <v>14</v>
      </c>
      <c r="D235" s="43">
        <v>118</v>
      </c>
      <c r="E235" s="43">
        <v>1548900</v>
      </c>
      <c r="F235" s="43">
        <v>1086</v>
      </c>
      <c r="G235" s="43">
        <v>91349500</v>
      </c>
      <c r="H235" s="43"/>
      <c r="I235" s="43"/>
      <c r="J235" s="43"/>
      <c r="K235" s="43"/>
      <c r="L235" s="43">
        <v>37</v>
      </c>
      <c r="M235" s="43">
        <v>5000800</v>
      </c>
      <c r="N235" s="43">
        <v>33</v>
      </c>
      <c r="O235" s="43">
        <v>4365000</v>
      </c>
      <c r="P235" s="43"/>
      <c r="Q235" s="43"/>
      <c r="R235" s="43">
        <v>4</v>
      </c>
      <c r="S235" s="43">
        <v>635800</v>
      </c>
      <c r="T235" s="44">
        <f t="shared" si="18"/>
        <v>1241</v>
      </c>
      <c r="U235" s="44">
        <f t="shared" si="18"/>
        <v>97899200</v>
      </c>
      <c r="V235" s="45">
        <f t="shared" si="19"/>
        <v>0.93309751254351414</v>
      </c>
      <c r="W235" s="44">
        <f t="shared" si="20"/>
        <v>1086</v>
      </c>
      <c r="X235" s="44">
        <f t="shared" si="21"/>
        <v>91985300</v>
      </c>
      <c r="Y235" s="43">
        <f t="shared" si="22"/>
        <v>84115.561694290969</v>
      </c>
      <c r="Z235" s="45">
        <f t="shared" si="23"/>
        <v>6.4944350924215927E-3</v>
      </c>
    </row>
    <row r="236" spans="1:26">
      <c r="A236" s="42" t="s">
        <v>542</v>
      </c>
      <c r="B236" s="42" t="s">
        <v>543</v>
      </c>
      <c r="C236" s="42" t="s">
        <v>14</v>
      </c>
      <c r="D236" s="43">
        <v>115</v>
      </c>
      <c r="E236" s="43">
        <v>5199900</v>
      </c>
      <c r="F236" s="43">
        <v>581</v>
      </c>
      <c r="G236" s="43">
        <v>119108700</v>
      </c>
      <c r="H236" s="43">
        <v>7</v>
      </c>
      <c r="I236" s="43">
        <v>1788800</v>
      </c>
      <c r="J236" s="43">
        <v>15</v>
      </c>
      <c r="K236" s="43">
        <v>158400</v>
      </c>
      <c r="L236" s="43">
        <v>57</v>
      </c>
      <c r="M236" s="43">
        <v>15829100</v>
      </c>
      <c r="N236" s="43">
        <v>32</v>
      </c>
      <c r="O236" s="43">
        <v>8427600</v>
      </c>
      <c r="P236" s="43">
        <v>23</v>
      </c>
      <c r="Q236" s="43">
        <v>6531300</v>
      </c>
      <c r="R236" s="43">
        <v>2</v>
      </c>
      <c r="S236" s="43">
        <v>870200</v>
      </c>
      <c r="T236" s="44">
        <f t="shared" si="18"/>
        <v>775</v>
      </c>
      <c r="U236" s="44">
        <f t="shared" si="18"/>
        <v>142084900</v>
      </c>
      <c r="V236" s="45">
        <f t="shared" si="19"/>
        <v>0.85088211344062603</v>
      </c>
      <c r="W236" s="44">
        <f t="shared" si="20"/>
        <v>588</v>
      </c>
      <c r="X236" s="44">
        <f t="shared" si="21"/>
        <v>121767700</v>
      </c>
      <c r="Y236" s="43">
        <f t="shared" si="22"/>
        <v>205607.99319727891</v>
      </c>
      <c r="Z236" s="45">
        <f t="shared" si="23"/>
        <v>6.1245072488350276E-3</v>
      </c>
    </row>
    <row r="237" spans="1:26">
      <c r="A237" s="42" t="s">
        <v>544</v>
      </c>
      <c r="B237" s="42" t="s">
        <v>545</v>
      </c>
      <c r="C237" s="42" t="s">
        <v>14</v>
      </c>
      <c r="D237" s="43">
        <v>208</v>
      </c>
      <c r="E237" s="43">
        <v>2953400</v>
      </c>
      <c r="F237" s="43">
        <v>1980</v>
      </c>
      <c r="G237" s="43">
        <v>141034600</v>
      </c>
      <c r="H237" s="43"/>
      <c r="I237" s="43"/>
      <c r="J237" s="43">
        <v>1</v>
      </c>
      <c r="K237" s="43">
        <v>19000</v>
      </c>
      <c r="L237" s="43">
        <v>154</v>
      </c>
      <c r="M237" s="43">
        <v>103972100</v>
      </c>
      <c r="N237" s="43">
        <v>135</v>
      </c>
      <c r="O237" s="43">
        <v>58006000</v>
      </c>
      <c r="P237" s="43">
        <v>6</v>
      </c>
      <c r="Q237" s="43">
        <v>39098600</v>
      </c>
      <c r="R237" s="43">
        <v>13</v>
      </c>
      <c r="S237" s="43">
        <v>6867500</v>
      </c>
      <c r="T237" s="44">
        <f t="shared" si="18"/>
        <v>2343</v>
      </c>
      <c r="U237" s="44">
        <f t="shared" si="18"/>
        <v>247979100</v>
      </c>
      <c r="V237" s="45">
        <f t="shared" si="19"/>
        <v>0.56873583297947283</v>
      </c>
      <c r="W237" s="44">
        <f t="shared" si="20"/>
        <v>1980</v>
      </c>
      <c r="X237" s="44">
        <f t="shared" si="21"/>
        <v>147902100</v>
      </c>
      <c r="Y237" s="43">
        <f t="shared" si="22"/>
        <v>71229.595959595958</v>
      </c>
      <c r="Z237" s="45">
        <f t="shared" si="23"/>
        <v>2.7693866136299389E-2</v>
      </c>
    </row>
    <row r="238" spans="1:26">
      <c r="A238" s="42" t="s">
        <v>546</v>
      </c>
      <c r="B238" s="42" t="s">
        <v>547</v>
      </c>
      <c r="C238" s="42" t="s">
        <v>14</v>
      </c>
      <c r="D238" s="43">
        <v>56</v>
      </c>
      <c r="E238" s="43">
        <v>1920000</v>
      </c>
      <c r="F238" s="43">
        <v>2994</v>
      </c>
      <c r="G238" s="43">
        <v>325903100</v>
      </c>
      <c r="H238" s="43">
        <v>1</v>
      </c>
      <c r="I238" s="43">
        <v>189700</v>
      </c>
      <c r="J238" s="43">
        <v>3</v>
      </c>
      <c r="K238" s="43">
        <v>10100</v>
      </c>
      <c r="L238" s="43">
        <v>150</v>
      </c>
      <c r="M238" s="43">
        <v>54291100</v>
      </c>
      <c r="N238" s="43">
        <v>136</v>
      </c>
      <c r="O238" s="43">
        <v>24051100</v>
      </c>
      <c r="P238" s="43">
        <v>4</v>
      </c>
      <c r="Q238" s="43">
        <v>22074500</v>
      </c>
      <c r="R238" s="43">
        <v>10</v>
      </c>
      <c r="S238" s="43">
        <v>8165500</v>
      </c>
      <c r="T238" s="44">
        <f t="shared" si="18"/>
        <v>3204</v>
      </c>
      <c r="U238" s="44">
        <f t="shared" si="18"/>
        <v>382314000</v>
      </c>
      <c r="V238" s="45">
        <f t="shared" si="19"/>
        <v>0.85294496147146059</v>
      </c>
      <c r="W238" s="44">
        <f t="shared" si="20"/>
        <v>2995</v>
      </c>
      <c r="X238" s="44">
        <f t="shared" si="21"/>
        <v>334258300</v>
      </c>
      <c r="Y238" s="43">
        <f t="shared" si="22"/>
        <v>108879.06510851419</v>
      </c>
      <c r="Z238" s="45">
        <f t="shared" si="23"/>
        <v>2.1358098317090141E-2</v>
      </c>
    </row>
    <row r="239" spans="1:26">
      <c r="A239" s="42" t="s">
        <v>548</v>
      </c>
      <c r="B239" s="42" t="s">
        <v>549</v>
      </c>
      <c r="C239" s="42" t="s">
        <v>14</v>
      </c>
      <c r="D239" s="43">
        <v>193</v>
      </c>
      <c r="E239" s="43">
        <v>6872100</v>
      </c>
      <c r="F239" s="43">
        <v>859</v>
      </c>
      <c r="G239" s="43">
        <v>177738000</v>
      </c>
      <c r="H239" s="43">
        <v>137</v>
      </c>
      <c r="I239" s="43">
        <v>27057100</v>
      </c>
      <c r="J239" s="43">
        <v>217</v>
      </c>
      <c r="K239" s="43">
        <v>2798800</v>
      </c>
      <c r="L239" s="43">
        <v>16</v>
      </c>
      <c r="M239" s="43">
        <v>7976300</v>
      </c>
      <c r="N239" s="43">
        <v>16</v>
      </c>
      <c r="O239" s="43">
        <v>7976300</v>
      </c>
      <c r="P239" s="43"/>
      <c r="Q239" s="43"/>
      <c r="R239" s="43"/>
      <c r="S239" s="43"/>
      <c r="T239" s="44">
        <f t="shared" si="18"/>
        <v>1422</v>
      </c>
      <c r="U239" s="44">
        <f t="shared" si="18"/>
        <v>222442300</v>
      </c>
      <c r="V239" s="45">
        <f t="shared" si="19"/>
        <v>0.92066616826026348</v>
      </c>
      <c r="W239" s="44">
        <f t="shared" si="20"/>
        <v>996</v>
      </c>
      <c r="X239" s="44">
        <f t="shared" si="21"/>
        <v>204795100</v>
      </c>
      <c r="Y239" s="43">
        <f t="shared" si="22"/>
        <v>205617.5702811245</v>
      </c>
      <c r="Z239" s="45">
        <f t="shared" si="23"/>
        <v>0</v>
      </c>
    </row>
    <row r="240" spans="1:26">
      <c r="A240" s="42" t="s">
        <v>550</v>
      </c>
      <c r="B240" s="42" t="s">
        <v>551</v>
      </c>
      <c r="C240" s="42" t="s">
        <v>14</v>
      </c>
      <c r="D240" s="43">
        <v>224</v>
      </c>
      <c r="E240" s="43">
        <v>3807000</v>
      </c>
      <c r="F240" s="43">
        <v>654</v>
      </c>
      <c r="G240" s="43">
        <v>59875100</v>
      </c>
      <c r="H240" s="43"/>
      <c r="I240" s="43"/>
      <c r="J240" s="43"/>
      <c r="K240" s="43"/>
      <c r="L240" s="43">
        <v>90</v>
      </c>
      <c r="M240" s="43">
        <v>15829100</v>
      </c>
      <c r="N240" s="43">
        <v>78</v>
      </c>
      <c r="O240" s="43">
        <v>13925600</v>
      </c>
      <c r="P240" s="43">
        <v>4</v>
      </c>
      <c r="Q240" s="43">
        <v>902800</v>
      </c>
      <c r="R240" s="43">
        <v>8</v>
      </c>
      <c r="S240" s="43">
        <v>1000700</v>
      </c>
      <c r="T240" s="44">
        <f t="shared" si="18"/>
        <v>968</v>
      </c>
      <c r="U240" s="44">
        <f t="shared" si="18"/>
        <v>79511200</v>
      </c>
      <c r="V240" s="45">
        <f t="shared" si="19"/>
        <v>0.75303982332048813</v>
      </c>
      <c r="W240" s="44">
        <f t="shared" si="20"/>
        <v>654</v>
      </c>
      <c r="X240" s="44">
        <f t="shared" si="21"/>
        <v>60875800</v>
      </c>
      <c r="Y240" s="43">
        <f t="shared" si="22"/>
        <v>91552.140672782873</v>
      </c>
      <c r="Z240" s="45">
        <f t="shared" si="23"/>
        <v>1.2585648311181318E-2</v>
      </c>
    </row>
    <row r="241" spans="1:26">
      <c r="A241" s="42" t="s">
        <v>552</v>
      </c>
      <c r="B241" s="42" t="s">
        <v>254</v>
      </c>
      <c r="C241" s="42" t="s">
        <v>14</v>
      </c>
      <c r="D241" s="43">
        <v>492</v>
      </c>
      <c r="E241" s="43">
        <v>33660800</v>
      </c>
      <c r="F241" s="43">
        <v>16108</v>
      </c>
      <c r="G241" s="43">
        <v>2093518500</v>
      </c>
      <c r="H241" s="43">
        <v>31</v>
      </c>
      <c r="I241" s="43">
        <v>4601200</v>
      </c>
      <c r="J241" s="43">
        <v>75</v>
      </c>
      <c r="K241" s="43">
        <v>613600</v>
      </c>
      <c r="L241" s="43">
        <v>797</v>
      </c>
      <c r="M241" s="43">
        <v>437142400</v>
      </c>
      <c r="N241" s="43">
        <v>776</v>
      </c>
      <c r="O241" s="43">
        <v>392870100</v>
      </c>
      <c r="P241" s="43">
        <v>12</v>
      </c>
      <c r="Q241" s="43">
        <v>6167100</v>
      </c>
      <c r="R241" s="43">
        <v>9</v>
      </c>
      <c r="S241" s="43">
        <v>38105200</v>
      </c>
      <c r="T241" s="44">
        <f t="shared" si="18"/>
        <v>17503</v>
      </c>
      <c r="U241" s="44">
        <f t="shared" si="18"/>
        <v>2569536500</v>
      </c>
      <c r="V241" s="45">
        <f t="shared" si="19"/>
        <v>0.81653625079853898</v>
      </c>
      <c r="W241" s="44">
        <f t="shared" si="20"/>
        <v>16139</v>
      </c>
      <c r="X241" s="44">
        <f t="shared" si="21"/>
        <v>2136224900</v>
      </c>
      <c r="Y241" s="43">
        <f t="shared" si="22"/>
        <v>130003.07949687094</v>
      </c>
      <c r="Z241" s="45">
        <f t="shared" si="23"/>
        <v>1.4829600591390704E-2</v>
      </c>
    </row>
    <row r="242" spans="1:26">
      <c r="A242" s="42" t="s">
        <v>553</v>
      </c>
      <c r="B242" s="42" t="s">
        <v>554</v>
      </c>
      <c r="C242" s="42" t="s">
        <v>14</v>
      </c>
      <c r="D242" s="43">
        <v>29</v>
      </c>
      <c r="E242" s="43">
        <v>2545000</v>
      </c>
      <c r="F242" s="43">
        <v>819</v>
      </c>
      <c r="G242" s="43">
        <v>292122000</v>
      </c>
      <c r="H242" s="43"/>
      <c r="I242" s="43"/>
      <c r="J242" s="43"/>
      <c r="K242" s="43"/>
      <c r="L242" s="43">
        <v>14</v>
      </c>
      <c r="M242" s="43">
        <v>5407000</v>
      </c>
      <c r="N242" s="43">
        <v>14</v>
      </c>
      <c r="O242" s="43">
        <v>5407000</v>
      </c>
      <c r="P242" s="43"/>
      <c r="Q242" s="43"/>
      <c r="R242" s="43"/>
      <c r="S242" s="43"/>
      <c r="T242" s="44">
        <f t="shared" si="18"/>
        <v>862</v>
      </c>
      <c r="U242" s="44">
        <f t="shared" si="18"/>
        <v>300074000</v>
      </c>
      <c r="V242" s="45">
        <f t="shared" si="19"/>
        <v>0.97349987003205873</v>
      </c>
      <c r="W242" s="44">
        <f t="shared" si="20"/>
        <v>819</v>
      </c>
      <c r="X242" s="44">
        <f t="shared" si="21"/>
        <v>292122000</v>
      </c>
      <c r="Y242" s="43">
        <f t="shared" si="22"/>
        <v>356681.31868131866</v>
      </c>
      <c r="Z242" s="45">
        <f t="shared" si="23"/>
        <v>0</v>
      </c>
    </row>
    <row r="243" spans="1:26">
      <c r="A243" s="42" t="s">
        <v>555</v>
      </c>
      <c r="B243" s="42" t="s">
        <v>556</v>
      </c>
      <c r="C243" s="42" t="s">
        <v>14</v>
      </c>
      <c r="D243" s="43">
        <v>524</v>
      </c>
      <c r="E243" s="43">
        <v>30039700</v>
      </c>
      <c r="F243" s="43">
        <v>6670</v>
      </c>
      <c r="G243" s="43">
        <v>784534500</v>
      </c>
      <c r="H243" s="43">
        <v>10</v>
      </c>
      <c r="I243" s="43">
        <v>1272200</v>
      </c>
      <c r="J243" s="43">
        <v>40</v>
      </c>
      <c r="K243" s="43">
        <v>354200</v>
      </c>
      <c r="L243" s="43">
        <v>314</v>
      </c>
      <c r="M243" s="43">
        <v>599409100</v>
      </c>
      <c r="N243" s="43">
        <v>289</v>
      </c>
      <c r="O243" s="43">
        <v>301334000</v>
      </c>
      <c r="P243" s="43">
        <v>14</v>
      </c>
      <c r="Q243" s="43">
        <v>258576000</v>
      </c>
      <c r="R243" s="43">
        <v>11</v>
      </c>
      <c r="S243" s="43">
        <v>39499100</v>
      </c>
      <c r="T243" s="44">
        <f t="shared" si="18"/>
        <v>7558</v>
      </c>
      <c r="U243" s="44">
        <f t="shared" si="18"/>
        <v>1415609700</v>
      </c>
      <c r="V243" s="45">
        <f t="shared" si="19"/>
        <v>0.55510124012289541</v>
      </c>
      <c r="W243" s="44">
        <f t="shared" si="20"/>
        <v>6680</v>
      </c>
      <c r="X243" s="44">
        <f t="shared" si="21"/>
        <v>825305800</v>
      </c>
      <c r="Y243" s="43">
        <f t="shared" si="22"/>
        <v>117635.73353293413</v>
      </c>
      <c r="Z243" s="45">
        <f t="shared" si="23"/>
        <v>2.7902535564711093E-2</v>
      </c>
    </row>
    <row r="244" spans="1:26">
      <c r="A244" s="42" t="s">
        <v>557</v>
      </c>
      <c r="B244" s="42" t="s">
        <v>558</v>
      </c>
      <c r="C244" s="42" t="s">
        <v>14</v>
      </c>
      <c r="D244" s="43">
        <v>67</v>
      </c>
      <c r="E244" s="43">
        <v>1366600</v>
      </c>
      <c r="F244" s="43">
        <v>1395</v>
      </c>
      <c r="G244" s="43">
        <v>121349500</v>
      </c>
      <c r="H244" s="43"/>
      <c r="I244" s="43"/>
      <c r="J244" s="43"/>
      <c r="K244" s="43"/>
      <c r="L244" s="43">
        <v>143</v>
      </c>
      <c r="M244" s="43">
        <v>38461000</v>
      </c>
      <c r="N244" s="43">
        <v>99</v>
      </c>
      <c r="O244" s="43">
        <v>16897500</v>
      </c>
      <c r="P244" s="43">
        <v>34</v>
      </c>
      <c r="Q244" s="43">
        <v>15245800</v>
      </c>
      <c r="R244" s="43">
        <v>10</v>
      </c>
      <c r="S244" s="43">
        <v>6317700</v>
      </c>
      <c r="T244" s="44">
        <f t="shared" si="18"/>
        <v>1605</v>
      </c>
      <c r="U244" s="44">
        <f t="shared" si="18"/>
        <v>161177100</v>
      </c>
      <c r="V244" s="45">
        <f t="shared" si="19"/>
        <v>0.75289541752519429</v>
      </c>
      <c r="W244" s="44">
        <f t="shared" si="20"/>
        <v>1395</v>
      </c>
      <c r="X244" s="44">
        <f t="shared" si="21"/>
        <v>127667200</v>
      </c>
      <c r="Y244" s="43">
        <f t="shared" si="22"/>
        <v>86988.888888888891</v>
      </c>
      <c r="Z244" s="45">
        <f t="shared" si="23"/>
        <v>3.9197255689548953E-2</v>
      </c>
    </row>
    <row r="245" spans="1:26">
      <c r="A245" s="42" t="s">
        <v>559</v>
      </c>
      <c r="B245" s="42" t="s">
        <v>560</v>
      </c>
      <c r="C245" s="42" t="s">
        <v>14</v>
      </c>
      <c r="D245" s="43">
        <v>157</v>
      </c>
      <c r="E245" s="43">
        <v>4519500</v>
      </c>
      <c r="F245" s="43">
        <v>2919</v>
      </c>
      <c r="G245" s="43">
        <v>267656300</v>
      </c>
      <c r="H245" s="43"/>
      <c r="I245" s="43"/>
      <c r="J245" s="43"/>
      <c r="K245" s="43"/>
      <c r="L245" s="43">
        <v>320</v>
      </c>
      <c r="M245" s="43">
        <v>101789800</v>
      </c>
      <c r="N245" s="43">
        <v>296</v>
      </c>
      <c r="O245" s="43">
        <v>87780900</v>
      </c>
      <c r="P245" s="43">
        <v>3</v>
      </c>
      <c r="Q245" s="43">
        <v>2017800</v>
      </c>
      <c r="R245" s="43">
        <v>21</v>
      </c>
      <c r="S245" s="43">
        <v>11991100</v>
      </c>
      <c r="T245" s="44">
        <f t="shared" si="18"/>
        <v>3396</v>
      </c>
      <c r="U245" s="44">
        <f t="shared" si="18"/>
        <v>373965600</v>
      </c>
      <c r="V245" s="45">
        <f t="shared" si="19"/>
        <v>0.71572438748376854</v>
      </c>
      <c r="W245" s="44">
        <f t="shared" si="20"/>
        <v>2919</v>
      </c>
      <c r="X245" s="44">
        <f t="shared" si="21"/>
        <v>279647400</v>
      </c>
      <c r="Y245" s="43">
        <f t="shared" si="22"/>
        <v>91694.518670777659</v>
      </c>
      <c r="Z245" s="45">
        <f t="shared" si="23"/>
        <v>3.2064713973691698E-2</v>
      </c>
    </row>
    <row r="246" spans="1:26">
      <c r="A246" s="42" t="s">
        <v>561</v>
      </c>
      <c r="B246" s="42" t="s">
        <v>562</v>
      </c>
      <c r="C246" s="42" t="s">
        <v>14</v>
      </c>
      <c r="D246" s="43">
        <v>118</v>
      </c>
      <c r="E246" s="43">
        <v>2826400</v>
      </c>
      <c r="F246" s="43">
        <v>1074</v>
      </c>
      <c r="G246" s="43">
        <v>153152000</v>
      </c>
      <c r="H246" s="43"/>
      <c r="I246" s="43"/>
      <c r="J246" s="43"/>
      <c r="K246" s="43"/>
      <c r="L246" s="43">
        <v>98</v>
      </c>
      <c r="M246" s="43">
        <v>38248500</v>
      </c>
      <c r="N246" s="43">
        <v>84</v>
      </c>
      <c r="O246" s="43">
        <v>28829500</v>
      </c>
      <c r="P246" s="43">
        <v>11</v>
      </c>
      <c r="Q246" s="43">
        <v>8911800</v>
      </c>
      <c r="R246" s="43">
        <v>3</v>
      </c>
      <c r="S246" s="43">
        <v>507200</v>
      </c>
      <c r="T246" s="44">
        <f t="shared" si="18"/>
        <v>1290</v>
      </c>
      <c r="U246" s="44">
        <f t="shared" si="18"/>
        <v>194226900</v>
      </c>
      <c r="V246" s="45">
        <f t="shared" si="19"/>
        <v>0.78852105449863019</v>
      </c>
      <c r="W246" s="44">
        <f t="shared" si="20"/>
        <v>1074</v>
      </c>
      <c r="X246" s="44">
        <f t="shared" si="21"/>
        <v>153659200</v>
      </c>
      <c r="Y246" s="43">
        <f t="shared" si="22"/>
        <v>142599.62756052142</v>
      </c>
      <c r="Z246" s="45">
        <f t="shared" si="23"/>
        <v>2.6113787534064541E-3</v>
      </c>
    </row>
    <row r="247" spans="1:26">
      <c r="A247" s="42" t="s">
        <v>563</v>
      </c>
      <c r="B247" s="42" t="s">
        <v>564</v>
      </c>
      <c r="C247" s="42" t="s">
        <v>14</v>
      </c>
      <c r="D247" s="43">
        <v>732</v>
      </c>
      <c r="E247" s="43">
        <v>25487400</v>
      </c>
      <c r="F247" s="43">
        <v>2713</v>
      </c>
      <c r="G247" s="43">
        <v>497155600</v>
      </c>
      <c r="H247" s="43">
        <v>109</v>
      </c>
      <c r="I247" s="43">
        <v>15019100</v>
      </c>
      <c r="J247" s="43">
        <v>254</v>
      </c>
      <c r="K247" s="43">
        <v>4972000</v>
      </c>
      <c r="L247" s="43">
        <v>68</v>
      </c>
      <c r="M247" s="43">
        <v>55584400</v>
      </c>
      <c r="N247" s="43">
        <v>67</v>
      </c>
      <c r="O247" s="43">
        <v>42973100</v>
      </c>
      <c r="P247" s="43"/>
      <c r="Q247" s="43"/>
      <c r="R247" s="43">
        <v>1</v>
      </c>
      <c r="S247" s="43">
        <v>12611300</v>
      </c>
      <c r="T247" s="44">
        <f t="shared" si="18"/>
        <v>3876</v>
      </c>
      <c r="U247" s="44">
        <f t="shared" si="18"/>
        <v>598218500</v>
      </c>
      <c r="V247" s="45">
        <f t="shared" si="19"/>
        <v>0.85616660133379363</v>
      </c>
      <c r="W247" s="44">
        <f t="shared" si="20"/>
        <v>2822</v>
      </c>
      <c r="X247" s="44">
        <f t="shared" si="21"/>
        <v>524786000</v>
      </c>
      <c r="Y247" s="43">
        <f t="shared" si="22"/>
        <v>181493.51523742027</v>
      </c>
      <c r="Z247" s="45">
        <f t="shared" si="23"/>
        <v>2.1081427605465226E-2</v>
      </c>
    </row>
    <row r="248" spans="1:26">
      <c r="A248" s="42" t="s">
        <v>565</v>
      </c>
      <c r="B248" s="42" t="s">
        <v>566</v>
      </c>
      <c r="C248" s="42" t="s">
        <v>15</v>
      </c>
      <c r="D248" s="43">
        <v>441</v>
      </c>
      <c r="E248" s="43">
        <v>90117400</v>
      </c>
      <c r="F248" s="43">
        <v>11078</v>
      </c>
      <c r="G248" s="43">
        <v>1503511600</v>
      </c>
      <c r="H248" s="43"/>
      <c r="I248" s="43"/>
      <c r="J248" s="43"/>
      <c r="K248" s="43"/>
      <c r="L248" s="43">
        <v>1673</v>
      </c>
      <c r="M248" s="43">
        <v>786053614</v>
      </c>
      <c r="N248" s="43">
        <v>1189</v>
      </c>
      <c r="O248" s="43">
        <v>340967314</v>
      </c>
      <c r="P248" s="43">
        <v>140</v>
      </c>
      <c r="Q248" s="43">
        <v>334446600</v>
      </c>
      <c r="R248" s="43">
        <v>344</v>
      </c>
      <c r="S248" s="43">
        <v>110639700</v>
      </c>
      <c r="T248" s="44">
        <f t="shared" si="18"/>
        <v>13192</v>
      </c>
      <c r="U248" s="44">
        <f t="shared" si="18"/>
        <v>2379682614</v>
      </c>
      <c r="V248" s="45">
        <f t="shared" si="19"/>
        <v>0.63181181858229096</v>
      </c>
      <c r="W248" s="44">
        <f t="shared" si="20"/>
        <v>11078</v>
      </c>
      <c r="X248" s="44">
        <f t="shared" si="21"/>
        <v>1614151300</v>
      </c>
      <c r="Y248" s="43">
        <f t="shared" si="22"/>
        <v>135720.49106336883</v>
      </c>
      <c r="Z248" s="45">
        <f t="shared" si="23"/>
        <v>4.6493469065618846E-2</v>
      </c>
    </row>
    <row r="249" spans="1:26">
      <c r="A249" s="42" t="s">
        <v>567</v>
      </c>
      <c r="B249" s="42" t="s">
        <v>568</v>
      </c>
      <c r="C249" s="42" t="s">
        <v>15</v>
      </c>
      <c r="D249" s="43">
        <v>7</v>
      </c>
      <c r="E249" s="43">
        <v>558400</v>
      </c>
      <c r="F249" s="43">
        <v>334</v>
      </c>
      <c r="G249" s="43">
        <v>25521800</v>
      </c>
      <c r="H249" s="43"/>
      <c r="I249" s="43"/>
      <c r="J249" s="43"/>
      <c r="K249" s="43"/>
      <c r="L249" s="43">
        <v>40</v>
      </c>
      <c r="M249" s="43">
        <v>13931600</v>
      </c>
      <c r="N249" s="43">
        <v>22</v>
      </c>
      <c r="O249" s="43">
        <v>2786800</v>
      </c>
      <c r="P249" s="43">
        <v>6</v>
      </c>
      <c r="Q249" s="43">
        <v>9650500</v>
      </c>
      <c r="R249" s="43">
        <v>12</v>
      </c>
      <c r="S249" s="43">
        <v>1494300</v>
      </c>
      <c r="T249" s="44">
        <f t="shared" si="18"/>
        <v>381</v>
      </c>
      <c r="U249" s="44">
        <f t="shared" si="18"/>
        <v>40011800</v>
      </c>
      <c r="V249" s="45">
        <f t="shared" si="19"/>
        <v>0.63785683223449086</v>
      </c>
      <c r="W249" s="44">
        <f t="shared" si="20"/>
        <v>334</v>
      </c>
      <c r="X249" s="44">
        <f t="shared" si="21"/>
        <v>27016100</v>
      </c>
      <c r="Y249" s="43">
        <f t="shared" si="22"/>
        <v>76412.574850299396</v>
      </c>
      <c r="Z249" s="45">
        <f t="shared" si="23"/>
        <v>3.7346482787577663E-2</v>
      </c>
    </row>
    <row r="250" spans="1:26">
      <c r="A250" s="42" t="s">
        <v>569</v>
      </c>
      <c r="B250" s="42" t="s">
        <v>570</v>
      </c>
      <c r="C250" s="42" t="s">
        <v>15</v>
      </c>
      <c r="D250" s="43">
        <v>39</v>
      </c>
      <c r="E250" s="43">
        <v>4940700</v>
      </c>
      <c r="F250" s="43">
        <v>2337</v>
      </c>
      <c r="G250" s="43">
        <v>317815600</v>
      </c>
      <c r="H250" s="43"/>
      <c r="I250" s="43"/>
      <c r="J250" s="43"/>
      <c r="K250" s="43"/>
      <c r="L250" s="43">
        <v>261</v>
      </c>
      <c r="M250" s="43">
        <v>82459700</v>
      </c>
      <c r="N250" s="43">
        <v>128</v>
      </c>
      <c r="O250" s="43">
        <v>35146600</v>
      </c>
      <c r="P250" s="43">
        <v>59</v>
      </c>
      <c r="Q250" s="43">
        <v>12645400</v>
      </c>
      <c r="R250" s="43">
        <v>74</v>
      </c>
      <c r="S250" s="43">
        <v>34667700</v>
      </c>
      <c r="T250" s="44">
        <f t="shared" si="18"/>
        <v>2637</v>
      </c>
      <c r="U250" s="44">
        <f t="shared" si="18"/>
        <v>405216000</v>
      </c>
      <c r="V250" s="45">
        <f t="shared" si="19"/>
        <v>0.78431157703545762</v>
      </c>
      <c r="W250" s="44">
        <f t="shared" si="20"/>
        <v>2337</v>
      </c>
      <c r="X250" s="44">
        <f t="shared" si="21"/>
        <v>352483300</v>
      </c>
      <c r="Y250" s="43">
        <f t="shared" si="22"/>
        <v>135992.98245614034</v>
      </c>
      <c r="Z250" s="45">
        <f t="shared" si="23"/>
        <v>8.5553630656242594E-2</v>
      </c>
    </row>
    <row r="251" spans="1:26">
      <c r="A251" s="42" t="s">
        <v>571</v>
      </c>
      <c r="B251" s="42" t="s">
        <v>572</v>
      </c>
      <c r="C251" s="42" t="s">
        <v>15</v>
      </c>
      <c r="D251" s="43">
        <v>116</v>
      </c>
      <c r="E251" s="43">
        <v>20447435</v>
      </c>
      <c r="F251" s="43">
        <v>1952</v>
      </c>
      <c r="G251" s="43">
        <v>274372760</v>
      </c>
      <c r="H251" s="43"/>
      <c r="I251" s="43"/>
      <c r="J251" s="43"/>
      <c r="K251" s="43"/>
      <c r="L251" s="43">
        <v>393</v>
      </c>
      <c r="M251" s="43">
        <v>184132710</v>
      </c>
      <c r="N251" s="43">
        <v>255</v>
      </c>
      <c r="O251" s="43">
        <v>62084480</v>
      </c>
      <c r="P251" s="43">
        <v>65</v>
      </c>
      <c r="Q251" s="43">
        <v>104512030</v>
      </c>
      <c r="R251" s="43">
        <v>73</v>
      </c>
      <c r="S251" s="43">
        <v>17536200</v>
      </c>
      <c r="T251" s="44">
        <f t="shared" si="18"/>
        <v>2461</v>
      </c>
      <c r="U251" s="44">
        <f t="shared" si="18"/>
        <v>478952905</v>
      </c>
      <c r="V251" s="45">
        <f t="shared" si="19"/>
        <v>0.57285958000400894</v>
      </c>
      <c r="W251" s="44">
        <f t="shared" si="20"/>
        <v>1952</v>
      </c>
      <c r="X251" s="44">
        <f t="shared" si="21"/>
        <v>291908960</v>
      </c>
      <c r="Y251" s="43">
        <f t="shared" si="22"/>
        <v>140559.81557377049</v>
      </c>
      <c r="Z251" s="45">
        <f t="shared" si="23"/>
        <v>3.661362070661206E-2</v>
      </c>
    </row>
    <row r="252" spans="1:26">
      <c r="A252" s="42" t="s">
        <v>573</v>
      </c>
      <c r="B252" s="42" t="s">
        <v>574</v>
      </c>
      <c r="C252" s="42" t="s">
        <v>15</v>
      </c>
      <c r="D252" s="43">
        <v>812</v>
      </c>
      <c r="E252" s="43">
        <v>58627900</v>
      </c>
      <c r="F252" s="43">
        <v>12045</v>
      </c>
      <c r="G252" s="43">
        <v>1991674700</v>
      </c>
      <c r="H252" s="43"/>
      <c r="I252" s="43"/>
      <c r="J252" s="43"/>
      <c r="K252" s="43"/>
      <c r="L252" s="43">
        <v>1355</v>
      </c>
      <c r="M252" s="43">
        <v>888984300</v>
      </c>
      <c r="N252" s="43">
        <v>959</v>
      </c>
      <c r="O252" s="43">
        <v>493320000</v>
      </c>
      <c r="P252" s="43">
        <v>44</v>
      </c>
      <c r="Q252" s="43">
        <v>43943600</v>
      </c>
      <c r="R252" s="43">
        <v>352</v>
      </c>
      <c r="S252" s="43">
        <v>351720700</v>
      </c>
      <c r="T252" s="44">
        <f t="shared" si="18"/>
        <v>14212</v>
      </c>
      <c r="U252" s="44">
        <f t="shared" si="18"/>
        <v>2939286900</v>
      </c>
      <c r="V252" s="45">
        <f t="shared" si="19"/>
        <v>0.67760472786783765</v>
      </c>
      <c r="W252" s="44">
        <f t="shared" si="20"/>
        <v>12045</v>
      </c>
      <c r="X252" s="44">
        <f t="shared" si="21"/>
        <v>2343395400</v>
      </c>
      <c r="Y252" s="43">
        <f t="shared" si="22"/>
        <v>165352.81859692818</v>
      </c>
      <c r="Z252" s="45">
        <f t="shared" si="23"/>
        <v>0.1196619152761168</v>
      </c>
    </row>
    <row r="253" spans="1:26">
      <c r="A253" s="42" t="s">
        <v>575</v>
      </c>
      <c r="B253" s="42" t="s">
        <v>576</v>
      </c>
      <c r="C253" s="42" t="s">
        <v>15</v>
      </c>
      <c r="D253" s="43">
        <v>7727</v>
      </c>
      <c r="E253" s="43">
        <v>359758081</v>
      </c>
      <c r="F253" s="43">
        <v>34331</v>
      </c>
      <c r="G253" s="43">
        <v>3227844622</v>
      </c>
      <c r="H253" s="43"/>
      <c r="I253" s="43"/>
      <c r="J253" s="43"/>
      <c r="K253" s="43"/>
      <c r="L253" s="43">
        <v>5739</v>
      </c>
      <c r="M253" s="43">
        <v>2348912124</v>
      </c>
      <c r="N253" s="43">
        <v>3454</v>
      </c>
      <c r="O253" s="43">
        <v>1476859174</v>
      </c>
      <c r="P253" s="43">
        <v>641</v>
      </c>
      <c r="Q253" s="43">
        <v>467280900</v>
      </c>
      <c r="R253" s="43">
        <v>1644</v>
      </c>
      <c r="S253" s="43">
        <v>404772050</v>
      </c>
      <c r="T253" s="44">
        <f t="shared" si="18"/>
        <v>47797</v>
      </c>
      <c r="U253" s="44">
        <f t="shared" si="18"/>
        <v>5936514827</v>
      </c>
      <c r="V253" s="45">
        <f t="shared" si="19"/>
        <v>0.54372720629271665</v>
      </c>
      <c r="W253" s="44">
        <f t="shared" si="20"/>
        <v>34331</v>
      </c>
      <c r="X253" s="44">
        <f t="shared" si="21"/>
        <v>3632616672</v>
      </c>
      <c r="Y253" s="43">
        <f t="shared" si="22"/>
        <v>94021.281698756226</v>
      </c>
      <c r="Z253" s="45">
        <f t="shared" si="23"/>
        <v>6.8183447998655194E-2</v>
      </c>
    </row>
    <row r="254" spans="1:26">
      <c r="A254" s="42" t="s">
        <v>577</v>
      </c>
      <c r="B254" s="42" t="s">
        <v>578</v>
      </c>
      <c r="C254" s="42" t="s">
        <v>15</v>
      </c>
      <c r="D254" s="43">
        <v>179</v>
      </c>
      <c r="E254" s="43">
        <v>16229700</v>
      </c>
      <c r="F254" s="43">
        <v>7102</v>
      </c>
      <c r="G254" s="43">
        <v>669910300</v>
      </c>
      <c r="H254" s="43"/>
      <c r="I254" s="43"/>
      <c r="J254" s="43"/>
      <c r="K254" s="43"/>
      <c r="L254" s="43">
        <v>845</v>
      </c>
      <c r="M254" s="43">
        <v>382840500</v>
      </c>
      <c r="N254" s="43">
        <v>487</v>
      </c>
      <c r="O254" s="43">
        <v>104347400</v>
      </c>
      <c r="P254" s="43">
        <v>219</v>
      </c>
      <c r="Q254" s="43">
        <v>243826800</v>
      </c>
      <c r="R254" s="43">
        <v>139</v>
      </c>
      <c r="S254" s="43">
        <v>34666300</v>
      </c>
      <c r="T254" s="44">
        <f t="shared" si="18"/>
        <v>8126</v>
      </c>
      <c r="U254" s="44">
        <f t="shared" si="18"/>
        <v>1068980500</v>
      </c>
      <c r="V254" s="45">
        <f t="shared" si="19"/>
        <v>0.62668149699643727</v>
      </c>
      <c r="W254" s="44">
        <f t="shared" si="20"/>
        <v>7102</v>
      </c>
      <c r="X254" s="44">
        <f t="shared" si="21"/>
        <v>704576600</v>
      </c>
      <c r="Y254" s="43">
        <f t="shared" si="22"/>
        <v>94326.992396508023</v>
      </c>
      <c r="Z254" s="45">
        <f t="shared" si="23"/>
        <v>3.2429309982735889E-2</v>
      </c>
    </row>
    <row r="255" spans="1:26">
      <c r="A255" s="42" t="s">
        <v>579</v>
      </c>
      <c r="B255" s="42" t="s">
        <v>580</v>
      </c>
      <c r="C255" s="42" t="s">
        <v>15</v>
      </c>
      <c r="D255" s="43">
        <v>727</v>
      </c>
      <c r="E255" s="43">
        <v>95489400</v>
      </c>
      <c r="F255" s="43">
        <v>10166</v>
      </c>
      <c r="G255" s="43">
        <v>1369305100</v>
      </c>
      <c r="H255" s="43"/>
      <c r="I255" s="43"/>
      <c r="J255" s="43"/>
      <c r="K255" s="43"/>
      <c r="L255" s="43">
        <v>1076</v>
      </c>
      <c r="M255" s="43">
        <v>1021337500</v>
      </c>
      <c r="N255" s="43">
        <v>701</v>
      </c>
      <c r="O255" s="43">
        <v>572756800</v>
      </c>
      <c r="P255" s="43">
        <v>210</v>
      </c>
      <c r="Q255" s="43">
        <v>276837100</v>
      </c>
      <c r="R255" s="43">
        <v>165</v>
      </c>
      <c r="S255" s="43">
        <v>171743600</v>
      </c>
      <c r="T255" s="44">
        <f t="shared" si="18"/>
        <v>11969</v>
      </c>
      <c r="U255" s="44">
        <f t="shared" si="18"/>
        <v>2486132000</v>
      </c>
      <c r="V255" s="45">
        <f t="shared" si="19"/>
        <v>0.55077731190459722</v>
      </c>
      <c r="W255" s="44">
        <f t="shared" si="20"/>
        <v>10166</v>
      </c>
      <c r="X255" s="44">
        <f t="shared" si="21"/>
        <v>1541048700</v>
      </c>
      <c r="Y255" s="43">
        <f t="shared" si="22"/>
        <v>134694.5799724572</v>
      </c>
      <c r="Z255" s="45">
        <f t="shared" si="23"/>
        <v>6.9080644149224574E-2</v>
      </c>
    </row>
    <row r="256" spans="1:26">
      <c r="A256" s="42" t="s">
        <v>581</v>
      </c>
      <c r="B256" s="42" t="s">
        <v>582</v>
      </c>
      <c r="C256" s="42" t="s">
        <v>15</v>
      </c>
      <c r="D256" s="43">
        <v>149</v>
      </c>
      <c r="E256" s="43">
        <v>71412400</v>
      </c>
      <c r="F256" s="43">
        <v>4669</v>
      </c>
      <c r="G256" s="43">
        <v>788258000</v>
      </c>
      <c r="H256" s="43"/>
      <c r="I256" s="43"/>
      <c r="J256" s="43"/>
      <c r="K256" s="43"/>
      <c r="L256" s="43">
        <v>405</v>
      </c>
      <c r="M256" s="43">
        <v>1662747675</v>
      </c>
      <c r="N256" s="43">
        <v>238</v>
      </c>
      <c r="O256" s="43">
        <v>741522475</v>
      </c>
      <c r="P256" s="43">
        <v>156</v>
      </c>
      <c r="Q256" s="43">
        <v>904364000</v>
      </c>
      <c r="R256" s="43">
        <v>11</v>
      </c>
      <c r="S256" s="43">
        <v>16861200</v>
      </c>
      <c r="T256" s="44">
        <f t="shared" si="18"/>
        <v>5223</v>
      </c>
      <c r="U256" s="44">
        <f t="shared" si="18"/>
        <v>2522418075</v>
      </c>
      <c r="V256" s="45">
        <f t="shared" si="19"/>
        <v>0.31250093226516384</v>
      </c>
      <c r="W256" s="44">
        <f t="shared" si="20"/>
        <v>4669</v>
      </c>
      <c r="X256" s="44">
        <f t="shared" si="21"/>
        <v>805119200</v>
      </c>
      <c r="Y256" s="43">
        <f t="shared" si="22"/>
        <v>168828.01456414649</v>
      </c>
      <c r="Z256" s="45">
        <f t="shared" si="23"/>
        <v>6.6845382084411206E-3</v>
      </c>
    </row>
    <row r="257" spans="1:26">
      <c r="A257" s="42" t="s">
        <v>583</v>
      </c>
      <c r="B257" s="42" t="s">
        <v>584</v>
      </c>
      <c r="C257" s="42" t="s">
        <v>15</v>
      </c>
      <c r="D257" s="43">
        <v>380</v>
      </c>
      <c r="E257" s="43">
        <v>26332800</v>
      </c>
      <c r="F257" s="43">
        <v>5725</v>
      </c>
      <c r="G257" s="43">
        <v>695066600</v>
      </c>
      <c r="H257" s="43"/>
      <c r="I257" s="43"/>
      <c r="J257" s="43"/>
      <c r="K257" s="43"/>
      <c r="L257" s="43">
        <v>2203</v>
      </c>
      <c r="M257" s="43">
        <v>719082400</v>
      </c>
      <c r="N257" s="43">
        <v>1393</v>
      </c>
      <c r="O257" s="43">
        <v>424954400</v>
      </c>
      <c r="P257" s="43">
        <v>97</v>
      </c>
      <c r="Q257" s="43">
        <v>34108700</v>
      </c>
      <c r="R257" s="43">
        <v>713</v>
      </c>
      <c r="S257" s="43">
        <v>260019300</v>
      </c>
      <c r="T257" s="44">
        <f t="shared" si="18"/>
        <v>8308</v>
      </c>
      <c r="U257" s="44">
        <f t="shared" si="18"/>
        <v>1440481800</v>
      </c>
      <c r="V257" s="45">
        <f t="shared" si="19"/>
        <v>0.48252369450276983</v>
      </c>
      <c r="W257" s="44">
        <f t="shared" si="20"/>
        <v>5725</v>
      </c>
      <c r="X257" s="44">
        <f t="shared" si="21"/>
        <v>955085900</v>
      </c>
      <c r="Y257" s="43">
        <f t="shared" si="22"/>
        <v>121409.01310043668</v>
      </c>
      <c r="Z257" s="45">
        <f t="shared" si="23"/>
        <v>0.18050856317657052</v>
      </c>
    </row>
    <row r="258" spans="1:26">
      <c r="A258" s="42" t="s">
        <v>585</v>
      </c>
      <c r="B258" s="42" t="s">
        <v>586</v>
      </c>
      <c r="C258" s="42" t="s">
        <v>15</v>
      </c>
      <c r="D258" s="43">
        <v>260</v>
      </c>
      <c r="E258" s="43">
        <v>160959350</v>
      </c>
      <c r="F258" s="43">
        <v>2656</v>
      </c>
      <c r="G258" s="43">
        <v>643054740</v>
      </c>
      <c r="H258" s="43"/>
      <c r="I258" s="43"/>
      <c r="J258" s="43"/>
      <c r="K258" s="43"/>
      <c r="L258" s="43">
        <v>204</v>
      </c>
      <c r="M258" s="43">
        <v>341227150</v>
      </c>
      <c r="N258" s="43">
        <v>63</v>
      </c>
      <c r="O258" s="43">
        <v>234201700</v>
      </c>
      <c r="P258" s="43">
        <v>23</v>
      </c>
      <c r="Q258" s="43">
        <v>49504000</v>
      </c>
      <c r="R258" s="43">
        <v>118</v>
      </c>
      <c r="S258" s="43">
        <v>57521450</v>
      </c>
      <c r="T258" s="44">
        <f t="shared" ref="T258:U321" si="24">R258+P258+N258+J258+H258+F258+D258</f>
        <v>3120</v>
      </c>
      <c r="U258" s="44">
        <f t="shared" si="24"/>
        <v>1145241240</v>
      </c>
      <c r="V258" s="45">
        <f t="shared" ref="V258:V321" si="25">(G258+I258)/U258</f>
        <v>0.56150155752337383</v>
      </c>
      <c r="W258" s="44">
        <f t="shared" ref="W258:W321" si="26">F258+H258</f>
        <v>2656</v>
      </c>
      <c r="X258" s="44">
        <f t="shared" ref="X258:X321" si="27">G258+I258+S258</f>
        <v>700576190</v>
      </c>
      <c r="Y258" s="43">
        <f t="shared" ref="Y258:Y321" si="28">(G258+I258)/(H258+F258)</f>
        <v>242113.98343373495</v>
      </c>
      <c r="Z258" s="45">
        <f t="shared" ref="Z258:Z321" si="29">S258/U258</f>
        <v>5.0226492018397802E-2</v>
      </c>
    </row>
    <row r="259" spans="1:26">
      <c r="A259" s="42" t="s">
        <v>587</v>
      </c>
      <c r="B259" s="42" t="s">
        <v>588</v>
      </c>
      <c r="C259" s="42" t="s">
        <v>15</v>
      </c>
      <c r="D259" s="43">
        <v>1122</v>
      </c>
      <c r="E259" s="43">
        <v>41592100</v>
      </c>
      <c r="F259" s="43">
        <v>4177</v>
      </c>
      <c r="G259" s="43">
        <v>450363300</v>
      </c>
      <c r="H259" s="43"/>
      <c r="I259" s="43"/>
      <c r="J259" s="43"/>
      <c r="K259" s="43"/>
      <c r="L259" s="43">
        <v>1277</v>
      </c>
      <c r="M259" s="43">
        <v>468226600</v>
      </c>
      <c r="N259" s="43">
        <v>745</v>
      </c>
      <c r="O259" s="43">
        <v>238616700</v>
      </c>
      <c r="P259" s="43">
        <v>132</v>
      </c>
      <c r="Q259" s="43">
        <v>37545700</v>
      </c>
      <c r="R259" s="43">
        <v>400</v>
      </c>
      <c r="S259" s="43">
        <v>192064200</v>
      </c>
      <c r="T259" s="44">
        <f t="shared" si="24"/>
        <v>6576</v>
      </c>
      <c r="U259" s="44">
        <f t="shared" si="24"/>
        <v>960182000</v>
      </c>
      <c r="V259" s="45">
        <f t="shared" si="25"/>
        <v>0.46903951542520061</v>
      </c>
      <c r="W259" s="44">
        <f t="shared" si="26"/>
        <v>4177</v>
      </c>
      <c r="X259" s="44">
        <f t="shared" si="27"/>
        <v>642427500</v>
      </c>
      <c r="Y259" s="43">
        <f t="shared" si="28"/>
        <v>107819.79889873114</v>
      </c>
      <c r="Z259" s="45">
        <f t="shared" si="29"/>
        <v>0.20002895284435659</v>
      </c>
    </row>
    <row r="260" spans="1:26">
      <c r="A260" s="42" t="s">
        <v>589</v>
      </c>
      <c r="B260" s="42" t="s">
        <v>590</v>
      </c>
      <c r="C260" s="42" t="s">
        <v>16</v>
      </c>
      <c r="D260" s="43">
        <v>209</v>
      </c>
      <c r="E260" s="43">
        <v>27780400</v>
      </c>
      <c r="F260" s="43">
        <v>1470</v>
      </c>
      <c r="G260" s="43">
        <v>644944300</v>
      </c>
      <c r="H260" s="43">
        <v>253</v>
      </c>
      <c r="I260" s="43">
        <v>114371300</v>
      </c>
      <c r="J260" s="43">
        <v>376</v>
      </c>
      <c r="K260" s="43">
        <v>3864670</v>
      </c>
      <c r="L260" s="43">
        <v>35</v>
      </c>
      <c r="M260" s="43">
        <v>24673488</v>
      </c>
      <c r="N260" s="43">
        <v>31</v>
      </c>
      <c r="O260" s="43">
        <v>21719788</v>
      </c>
      <c r="P260" s="43">
        <v>3</v>
      </c>
      <c r="Q260" s="43">
        <v>2534800</v>
      </c>
      <c r="R260" s="43">
        <v>1</v>
      </c>
      <c r="S260" s="43">
        <v>418900</v>
      </c>
      <c r="T260" s="44">
        <f t="shared" si="24"/>
        <v>2343</v>
      </c>
      <c r="U260" s="44">
        <f t="shared" si="24"/>
        <v>815634158</v>
      </c>
      <c r="V260" s="45">
        <f t="shared" si="25"/>
        <v>0.93095120226683792</v>
      </c>
      <c r="W260" s="44">
        <f t="shared" si="26"/>
        <v>1723</v>
      </c>
      <c r="X260" s="44">
        <f t="shared" si="27"/>
        <v>759734500</v>
      </c>
      <c r="Y260" s="43">
        <f t="shared" si="28"/>
        <v>440693.90597794543</v>
      </c>
      <c r="Z260" s="45">
        <f t="shared" si="29"/>
        <v>5.135881030622555E-4</v>
      </c>
    </row>
    <row r="261" spans="1:26">
      <c r="A261" s="42" t="s">
        <v>591</v>
      </c>
      <c r="B261" s="42" t="s">
        <v>592</v>
      </c>
      <c r="C261" s="42" t="s">
        <v>16</v>
      </c>
      <c r="D261" s="43">
        <v>151</v>
      </c>
      <c r="E261" s="43">
        <v>6976100</v>
      </c>
      <c r="F261" s="43">
        <v>1267</v>
      </c>
      <c r="G261" s="43">
        <v>448389600</v>
      </c>
      <c r="H261" s="43">
        <v>133</v>
      </c>
      <c r="I261" s="43">
        <v>41525600</v>
      </c>
      <c r="J261" s="43">
        <v>222</v>
      </c>
      <c r="K261" s="43">
        <v>1946328</v>
      </c>
      <c r="L261" s="43">
        <v>30</v>
      </c>
      <c r="M261" s="43">
        <v>29289200</v>
      </c>
      <c r="N261" s="43">
        <v>23</v>
      </c>
      <c r="O261" s="43">
        <v>20956200</v>
      </c>
      <c r="P261" s="43">
        <v>7</v>
      </c>
      <c r="Q261" s="43">
        <v>8333000</v>
      </c>
      <c r="R261" s="43"/>
      <c r="S261" s="43"/>
      <c r="T261" s="44">
        <f t="shared" si="24"/>
        <v>1803</v>
      </c>
      <c r="U261" s="44">
        <f t="shared" si="24"/>
        <v>528126828</v>
      </c>
      <c r="V261" s="45">
        <f t="shared" si="25"/>
        <v>0.92764687197447204</v>
      </c>
      <c r="W261" s="44">
        <f t="shared" si="26"/>
        <v>1400</v>
      </c>
      <c r="X261" s="44">
        <f t="shared" si="27"/>
        <v>489915200</v>
      </c>
      <c r="Y261" s="43">
        <f t="shared" si="28"/>
        <v>349939.42857142858</v>
      </c>
      <c r="Z261" s="45">
        <f t="shared" si="29"/>
        <v>0</v>
      </c>
    </row>
    <row r="262" spans="1:26">
      <c r="A262" s="42" t="s">
        <v>593</v>
      </c>
      <c r="B262" s="42" t="s">
        <v>594</v>
      </c>
      <c r="C262" s="42" t="s">
        <v>16</v>
      </c>
      <c r="D262" s="43">
        <v>34</v>
      </c>
      <c r="E262" s="43">
        <v>832500</v>
      </c>
      <c r="F262" s="43">
        <v>315</v>
      </c>
      <c r="G262" s="43">
        <v>95535400</v>
      </c>
      <c r="H262" s="43">
        <v>1</v>
      </c>
      <c r="I262" s="43">
        <v>432100</v>
      </c>
      <c r="J262" s="43">
        <v>6</v>
      </c>
      <c r="K262" s="43">
        <v>124400</v>
      </c>
      <c r="L262" s="43">
        <v>30</v>
      </c>
      <c r="M262" s="43">
        <v>25010100</v>
      </c>
      <c r="N262" s="43">
        <v>22</v>
      </c>
      <c r="O262" s="43">
        <v>18955700</v>
      </c>
      <c r="P262" s="43">
        <v>5</v>
      </c>
      <c r="Q262" s="43">
        <v>4850500</v>
      </c>
      <c r="R262" s="43">
        <v>3</v>
      </c>
      <c r="S262" s="43">
        <v>1203900</v>
      </c>
      <c r="T262" s="44">
        <f t="shared" si="24"/>
        <v>386</v>
      </c>
      <c r="U262" s="44">
        <f t="shared" si="24"/>
        <v>121934500</v>
      </c>
      <c r="V262" s="45">
        <f t="shared" si="25"/>
        <v>0.78704140337640294</v>
      </c>
      <c r="W262" s="44">
        <f t="shared" si="26"/>
        <v>316</v>
      </c>
      <c r="X262" s="44">
        <f t="shared" si="27"/>
        <v>97171400</v>
      </c>
      <c r="Y262" s="43">
        <f t="shared" si="28"/>
        <v>303694.62025316455</v>
      </c>
      <c r="Z262" s="45">
        <f t="shared" si="29"/>
        <v>9.8733336340412273E-3</v>
      </c>
    </row>
    <row r="263" spans="1:26">
      <c r="A263" s="42" t="s">
        <v>595</v>
      </c>
      <c r="B263" s="42" t="s">
        <v>596</v>
      </c>
      <c r="C263" s="42" t="s">
        <v>16</v>
      </c>
      <c r="D263" s="43">
        <v>61</v>
      </c>
      <c r="E263" s="43">
        <v>3024300</v>
      </c>
      <c r="F263" s="43">
        <v>385</v>
      </c>
      <c r="G263" s="43">
        <v>141995300</v>
      </c>
      <c r="H263" s="43">
        <v>6</v>
      </c>
      <c r="I263" s="43">
        <v>1957500</v>
      </c>
      <c r="J263" s="43">
        <v>19</v>
      </c>
      <c r="K263" s="43">
        <v>27508</v>
      </c>
      <c r="L263" s="43">
        <v>33</v>
      </c>
      <c r="M263" s="43">
        <v>17092500</v>
      </c>
      <c r="N263" s="43">
        <v>30</v>
      </c>
      <c r="O263" s="43">
        <v>16220700</v>
      </c>
      <c r="P263" s="43">
        <v>1</v>
      </c>
      <c r="Q263" s="43">
        <v>396100</v>
      </c>
      <c r="R263" s="43">
        <v>2</v>
      </c>
      <c r="S263" s="43">
        <v>475700</v>
      </c>
      <c r="T263" s="44">
        <f t="shared" si="24"/>
        <v>504</v>
      </c>
      <c r="U263" s="44">
        <f t="shared" si="24"/>
        <v>164097108</v>
      </c>
      <c r="V263" s="45">
        <f t="shared" si="25"/>
        <v>0.87724154163643153</v>
      </c>
      <c r="W263" s="44">
        <f t="shared" si="26"/>
        <v>391</v>
      </c>
      <c r="X263" s="44">
        <f t="shared" si="27"/>
        <v>144428500</v>
      </c>
      <c r="Y263" s="43">
        <f t="shared" si="28"/>
        <v>368165.72890025575</v>
      </c>
      <c r="Z263" s="45">
        <f t="shared" si="29"/>
        <v>2.8988932577653959E-3</v>
      </c>
    </row>
    <row r="264" spans="1:26">
      <c r="A264" s="42" t="s">
        <v>597</v>
      </c>
      <c r="B264" s="42" t="s">
        <v>598</v>
      </c>
      <c r="C264" s="42" t="s">
        <v>16</v>
      </c>
      <c r="D264" s="43">
        <v>40</v>
      </c>
      <c r="E264" s="43">
        <v>4979800</v>
      </c>
      <c r="F264" s="43">
        <v>855</v>
      </c>
      <c r="G264" s="43">
        <v>318996900</v>
      </c>
      <c r="H264" s="43">
        <v>1</v>
      </c>
      <c r="I264" s="43">
        <v>211800</v>
      </c>
      <c r="J264" s="43">
        <v>4</v>
      </c>
      <c r="K264" s="43">
        <v>59300</v>
      </c>
      <c r="L264" s="43">
        <v>128</v>
      </c>
      <c r="M264" s="43">
        <v>100808200</v>
      </c>
      <c r="N264" s="43">
        <v>120</v>
      </c>
      <c r="O264" s="43">
        <v>89817400</v>
      </c>
      <c r="P264" s="43"/>
      <c r="Q264" s="43"/>
      <c r="R264" s="43">
        <v>8</v>
      </c>
      <c r="S264" s="43">
        <v>10990800</v>
      </c>
      <c r="T264" s="44">
        <f t="shared" si="24"/>
        <v>1028</v>
      </c>
      <c r="U264" s="44">
        <f t="shared" si="24"/>
        <v>425056000</v>
      </c>
      <c r="V264" s="45">
        <f t="shared" si="25"/>
        <v>0.75098034141383718</v>
      </c>
      <c r="W264" s="44">
        <f t="shared" si="26"/>
        <v>856</v>
      </c>
      <c r="X264" s="44">
        <f t="shared" si="27"/>
        <v>330199500</v>
      </c>
      <c r="Y264" s="43">
        <f t="shared" si="28"/>
        <v>372907.35981308413</v>
      </c>
      <c r="Z264" s="45">
        <f t="shared" si="29"/>
        <v>2.5857298802981255E-2</v>
      </c>
    </row>
    <row r="265" spans="1:26">
      <c r="A265" s="42" t="s">
        <v>599</v>
      </c>
      <c r="B265" s="42" t="s">
        <v>600</v>
      </c>
      <c r="C265" s="42" t="s">
        <v>16</v>
      </c>
      <c r="D265" s="43">
        <v>189</v>
      </c>
      <c r="E265" s="43">
        <v>19106600</v>
      </c>
      <c r="F265" s="43">
        <v>4333</v>
      </c>
      <c r="G265" s="43">
        <v>2090024500</v>
      </c>
      <c r="H265" s="43">
        <v>135</v>
      </c>
      <c r="I265" s="43">
        <v>70456000</v>
      </c>
      <c r="J265" s="43">
        <v>225</v>
      </c>
      <c r="K265" s="43">
        <v>2533216</v>
      </c>
      <c r="L265" s="43">
        <v>287</v>
      </c>
      <c r="M265" s="43">
        <v>411170500</v>
      </c>
      <c r="N265" s="43">
        <v>275</v>
      </c>
      <c r="O265" s="43">
        <v>228922200</v>
      </c>
      <c r="P265" s="43">
        <v>8</v>
      </c>
      <c r="Q265" s="43">
        <v>164242500</v>
      </c>
      <c r="R265" s="43">
        <v>4</v>
      </c>
      <c r="S265" s="43">
        <v>18005800</v>
      </c>
      <c r="T265" s="44">
        <f t="shared" si="24"/>
        <v>5169</v>
      </c>
      <c r="U265" s="44">
        <f t="shared" si="24"/>
        <v>2593290816</v>
      </c>
      <c r="V265" s="45">
        <f t="shared" si="25"/>
        <v>0.83310382571454722</v>
      </c>
      <c r="W265" s="44">
        <f t="shared" si="26"/>
        <v>4468</v>
      </c>
      <c r="X265" s="44">
        <f t="shared" si="27"/>
        <v>2178486300</v>
      </c>
      <c r="Y265" s="43">
        <f t="shared" si="28"/>
        <v>483545.3222918532</v>
      </c>
      <c r="Z265" s="45">
        <f t="shared" si="29"/>
        <v>6.9432243730276639E-3</v>
      </c>
    </row>
    <row r="266" spans="1:26">
      <c r="A266" s="42" t="s">
        <v>601</v>
      </c>
      <c r="B266" s="42" t="s">
        <v>602</v>
      </c>
      <c r="C266" s="42" t="s">
        <v>16</v>
      </c>
      <c r="D266" s="43">
        <v>147</v>
      </c>
      <c r="E266" s="43">
        <v>13593120</v>
      </c>
      <c r="F266" s="43">
        <v>1288</v>
      </c>
      <c r="G266" s="43">
        <v>586262500</v>
      </c>
      <c r="H266" s="43">
        <v>471</v>
      </c>
      <c r="I266" s="43">
        <v>261890800</v>
      </c>
      <c r="J266" s="43">
        <v>710</v>
      </c>
      <c r="K266" s="43">
        <v>6567900</v>
      </c>
      <c r="L266" s="43">
        <v>46</v>
      </c>
      <c r="M266" s="43">
        <v>28292100</v>
      </c>
      <c r="N266" s="43">
        <v>34</v>
      </c>
      <c r="O266" s="43">
        <v>18483500</v>
      </c>
      <c r="P266" s="43">
        <v>10</v>
      </c>
      <c r="Q266" s="43">
        <v>8742900</v>
      </c>
      <c r="R266" s="43">
        <v>2</v>
      </c>
      <c r="S266" s="43">
        <v>1065700</v>
      </c>
      <c r="T266" s="44">
        <f t="shared" si="24"/>
        <v>2662</v>
      </c>
      <c r="U266" s="44">
        <f t="shared" si="24"/>
        <v>896606420</v>
      </c>
      <c r="V266" s="45">
        <f t="shared" si="25"/>
        <v>0.9459594322333762</v>
      </c>
      <c r="W266" s="44">
        <f t="shared" si="26"/>
        <v>1759</v>
      </c>
      <c r="X266" s="44">
        <f t="shared" si="27"/>
        <v>849219000</v>
      </c>
      <c r="Y266" s="43">
        <f t="shared" si="28"/>
        <v>482179.24957362138</v>
      </c>
      <c r="Z266" s="45">
        <f t="shared" si="29"/>
        <v>1.1885928722214592E-3</v>
      </c>
    </row>
    <row r="267" spans="1:26">
      <c r="A267" s="42" t="s">
        <v>603</v>
      </c>
      <c r="B267" s="42" t="s">
        <v>604</v>
      </c>
      <c r="C267" s="42" t="s">
        <v>16</v>
      </c>
      <c r="D267" s="43">
        <v>168</v>
      </c>
      <c r="E267" s="43">
        <v>14132800</v>
      </c>
      <c r="F267" s="43">
        <v>1219</v>
      </c>
      <c r="G267" s="43">
        <v>523094200</v>
      </c>
      <c r="H267" s="43">
        <v>253</v>
      </c>
      <c r="I267" s="43">
        <v>141769700</v>
      </c>
      <c r="J267" s="43">
        <v>429</v>
      </c>
      <c r="K267" s="43">
        <v>5287057</v>
      </c>
      <c r="L267" s="43">
        <v>66</v>
      </c>
      <c r="M267" s="43">
        <v>106169061</v>
      </c>
      <c r="N267" s="43">
        <v>61</v>
      </c>
      <c r="O267" s="43">
        <v>103980461</v>
      </c>
      <c r="P267" s="43"/>
      <c r="Q267" s="43"/>
      <c r="R267" s="43">
        <v>5</v>
      </c>
      <c r="S267" s="43">
        <v>2188600</v>
      </c>
      <c r="T267" s="44">
        <f t="shared" si="24"/>
        <v>2135</v>
      </c>
      <c r="U267" s="44">
        <f t="shared" si="24"/>
        <v>790452818</v>
      </c>
      <c r="V267" s="45">
        <f t="shared" si="25"/>
        <v>0.84111775536740507</v>
      </c>
      <c r="W267" s="44">
        <f t="shared" si="26"/>
        <v>1472</v>
      </c>
      <c r="X267" s="44">
        <f t="shared" si="27"/>
        <v>667052500</v>
      </c>
      <c r="Y267" s="43">
        <f t="shared" si="28"/>
        <v>451673.84510869568</v>
      </c>
      <c r="Z267" s="45">
        <f t="shared" si="29"/>
        <v>2.7687927099021362E-3</v>
      </c>
    </row>
    <row r="268" spans="1:26">
      <c r="A268" s="42" t="s">
        <v>605</v>
      </c>
      <c r="B268" s="42" t="s">
        <v>606</v>
      </c>
      <c r="C268" s="42" t="s">
        <v>16</v>
      </c>
      <c r="D268" s="43">
        <v>36</v>
      </c>
      <c r="E268" s="43">
        <v>5010500</v>
      </c>
      <c r="F268" s="43">
        <v>861</v>
      </c>
      <c r="G268" s="43">
        <v>258907500</v>
      </c>
      <c r="H268" s="43"/>
      <c r="I268" s="43"/>
      <c r="J268" s="43"/>
      <c r="K268" s="43"/>
      <c r="L268" s="43">
        <v>238</v>
      </c>
      <c r="M268" s="43">
        <v>267571700</v>
      </c>
      <c r="N268" s="43">
        <v>226</v>
      </c>
      <c r="O268" s="43">
        <v>221209500</v>
      </c>
      <c r="P268" s="43">
        <v>2</v>
      </c>
      <c r="Q268" s="43">
        <v>3365000</v>
      </c>
      <c r="R268" s="43">
        <v>10</v>
      </c>
      <c r="S268" s="43">
        <v>42997200</v>
      </c>
      <c r="T268" s="44">
        <f t="shared" si="24"/>
        <v>1135</v>
      </c>
      <c r="U268" s="44">
        <f t="shared" si="24"/>
        <v>531489700</v>
      </c>
      <c r="V268" s="45">
        <f t="shared" si="25"/>
        <v>0.48713549858068744</v>
      </c>
      <c r="W268" s="44">
        <f t="shared" si="26"/>
        <v>861</v>
      </c>
      <c r="X268" s="44">
        <f t="shared" si="27"/>
        <v>301904700</v>
      </c>
      <c r="Y268" s="43">
        <f t="shared" si="28"/>
        <v>300705.57491289201</v>
      </c>
      <c r="Z268" s="45">
        <f t="shared" si="29"/>
        <v>8.0899404071235997E-2</v>
      </c>
    </row>
    <row r="269" spans="1:26">
      <c r="A269" s="42" t="s">
        <v>607</v>
      </c>
      <c r="B269" s="42" t="s">
        <v>528</v>
      </c>
      <c r="C269" s="42" t="s">
        <v>16</v>
      </c>
      <c r="D269" s="43">
        <v>67</v>
      </c>
      <c r="E269" s="43">
        <v>6368400</v>
      </c>
      <c r="F269" s="43">
        <v>876</v>
      </c>
      <c r="G269" s="43">
        <v>377968800</v>
      </c>
      <c r="H269" s="43">
        <v>259</v>
      </c>
      <c r="I269" s="43">
        <v>118769600</v>
      </c>
      <c r="J269" s="43">
        <v>400</v>
      </c>
      <c r="K269" s="43">
        <v>4278739</v>
      </c>
      <c r="L269" s="43">
        <v>29</v>
      </c>
      <c r="M269" s="43">
        <v>42010300</v>
      </c>
      <c r="N269" s="43">
        <v>22</v>
      </c>
      <c r="O269" s="43">
        <v>38588100</v>
      </c>
      <c r="P269" s="43">
        <v>4</v>
      </c>
      <c r="Q269" s="43">
        <v>2308800</v>
      </c>
      <c r="R269" s="43">
        <v>3</v>
      </c>
      <c r="S269" s="43">
        <v>1113400</v>
      </c>
      <c r="T269" s="44">
        <f t="shared" si="24"/>
        <v>1631</v>
      </c>
      <c r="U269" s="44">
        <f t="shared" si="24"/>
        <v>549395839</v>
      </c>
      <c r="V269" s="45">
        <f t="shared" si="25"/>
        <v>0.90415391733609396</v>
      </c>
      <c r="W269" s="44">
        <f t="shared" si="26"/>
        <v>1135</v>
      </c>
      <c r="X269" s="44">
        <f t="shared" si="27"/>
        <v>497851800</v>
      </c>
      <c r="Y269" s="43">
        <f t="shared" si="28"/>
        <v>437654.97797356825</v>
      </c>
      <c r="Z269" s="45">
        <f t="shared" si="29"/>
        <v>2.0265897936660566E-3</v>
      </c>
    </row>
    <row r="270" spans="1:26">
      <c r="A270" s="42" t="s">
        <v>608</v>
      </c>
      <c r="B270" s="42" t="s">
        <v>609</v>
      </c>
      <c r="C270" s="42" t="s">
        <v>16</v>
      </c>
      <c r="D270" s="43">
        <v>45</v>
      </c>
      <c r="E270" s="43">
        <v>2554500</v>
      </c>
      <c r="F270" s="43">
        <v>418</v>
      </c>
      <c r="G270" s="43">
        <v>108094600</v>
      </c>
      <c r="H270" s="43">
        <v>2</v>
      </c>
      <c r="I270" s="43">
        <v>898600</v>
      </c>
      <c r="J270" s="43">
        <v>6</v>
      </c>
      <c r="K270" s="43">
        <v>52749</v>
      </c>
      <c r="L270" s="43">
        <v>77</v>
      </c>
      <c r="M270" s="43">
        <v>37931530</v>
      </c>
      <c r="N270" s="43">
        <v>61</v>
      </c>
      <c r="O270" s="43">
        <v>28085300</v>
      </c>
      <c r="P270" s="43">
        <v>6</v>
      </c>
      <c r="Q270" s="43">
        <v>3726350</v>
      </c>
      <c r="R270" s="43">
        <v>10</v>
      </c>
      <c r="S270" s="43">
        <v>6119880</v>
      </c>
      <c r="T270" s="44">
        <f t="shared" si="24"/>
        <v>548</v>
      </c>
      <c r="U270" s="44">
        <f t="shared" si="24"/>
        <v>149531979</v>
      </c>
      <c r="V270" s="45">
        <f t="shared" si="25"/>
        <v>0.72889558961832501</v>
      </c>
      <c r="W270" s="44">
        <f t="shared" si="26"/>
        <v>420</v>
      </c>
      <c r="X270" s="44">
        <f t="shared" si="27"/>
        <v>115113080</v>
      </c>
      <c r="Y270" s="43">
        <f t="shared" si="28"/>
        <v>259507.61904761905</v>
      </c>
      <c r="Z270" s="45">
        <f t="shared" si="29"/>
        <v>4.0926897650435029E-2</v>
      </c>
    </row>
    <row r="271" spans="1:26">
      <c r="A271" s="42" t="s">
        <v>610</v>
      </c>
      <c r="B271" s="42" t="s">
        <v>611</v>
      </c>
      <c r="C271" s="42" t="s">
        <v>16</v>
      </c>
      <c r="D271" s="43">
        <v>43</v>
      </c>
      <c r="E271" s="43">
        <v>1363104</v>
      </c>
      <c r="F271" s="43">
        <v>707</v>
      </c>
      <c r="G271" s="43">
        <v>128991800</v>
      </c>
      <c r="H271" s="43">
        <v>9</v>
      </c>
      <c r="I271" s="43">
        <v>2430300</v>
      </c>
      <c r="J271" s="43">
        <v>15</v>
      </c>
      <c r="K271" s="43">
        <v>50937</v>
      </c>
      <c r="L271" s="43">
        <v>21</v>
      </c>
      <c r="M271" s="43">
        <v>6521800</v>
      </c>
      <c r="N271" s="43">
        <v>16</v>
      </c>
      <c r="O271" s="43">
        <v>4748000</v>
      </c>
      <c r="P271" s="43">
        <v>1</v>
      </c>
      <c r="Q271" s="43">
        <v>568600</v>
      </c>
      <c r="R271" s="43">
        <v>4</v>
      </c>
      <c r="S271" s="43">
        <v>1205200</v>
      </c>
      <c r="T271" s="44">
        <f t="shared" si="24"/>
        <v>795</v>
      </c>
      <c r="U271" s="44">
        <f t="shared" si="24"/>
        <v>139357941</v>
      </c>
      <c r="V271" s="45">
        <f t="shared" si="25"/>
        <v>0.94305426053905317</v>
      </c>
      <c r="W271" s="44">
        <f t="shared" si="26"/>
        <v>716</v>
      </c>
      <c r="X271" s="44">
        <f t="shared" si="27"/>
        <v>132627300</v>
      </c>
      <c r="Y271" s="43">
        <f t="shared" si="28"/>
        <v>183550.4189944134</v>
      </c>
      <c r="Z271" s="45">
        <f t="shared" si="29"/>
        <v>8.6482334006355611E-3</v>
      </c>
    </row>
    <row r="272" spans="1:26">
      <c r="A272" s="42" t="s">
        <v>612</v>
      </c>
      <c r="B272" s="42" t="s">
        <v>613</v>
      </c>
      <c r="C272" s="42" t="s">
        <v>16</v>
      </c>
      <c r="D272" s="43">
        <v>55</v>
      </c>
      <c r="E272" s="43">
        <v>4460701</v>
      </c>
      <c r="F272" s="43">
        <v>449</v>
      </c>
      <c r="G272" s="43">
        <v>132531285</v>
      </c>
      <c r="H272" s="43">
        <v>7</v>
      </c>
      <c r="I272" s="43">
        <v>3547400</v>
      </c>
      <c r="J272" s="43">
        <v>19</v>
      </c>
      <c r="K272" s="43">
        <v>142299</v>
      </c>
      <c r="L272" s="43">
        <v>23</v>
      </c>
      <c r="M272" s="43">
        <v>9596350</v>
      </c>
      <c r="N272" s="43">
        <v>18</v>
      </c>
      <c r="O272" s="43">
        <v>5839050</v>
      </c>
      <c r="P272" s="43">
        <v>2</v>
      </c>
      <c r="Q272" s="43">
        <v>1011500</v>
      </c>
      <c r="R272" s="43">
        <v>3</v>
      </c>
      <c r="S272" s="43">
        <v>2745800</v>
      </c>
      <c r="T272" s="44">
        <f t="shared" si="24"/>
        <v>553</v>
      </c>
      <c r="U272" s="44">
        <f t="shared" si="24"/>
        <v>150278035</v>
      </c>
      <c r="V272" s="45">
        <f t="shared" si="25"/>
        <v>0.90551280498177922</v>
      </c>
      <c r="W272" s="44">
        <f t="shared" si="26"/>
        <v>456</v>
      </c>
      <c r="X272" s="44">
        <f t="shared" si="27"/>
        <v>138824485</v>
      </c>
      <c r="Y272" s="43">
        <f t="shared" si="28"/>
        <v>298418.1688596491</v>
      </c>
      <c r="Z272" s="45">
        <f t="shared" si="29"/>
        <v>1.8271465953091547E-2</v>
      </c>
    </row>
    <row r="273" spans="1:26">
      <c r="A273" s="42" t="s">
        <v>614</v>
      </c>
      <c r="B273" s="42" t="s">
        <v>615</v>
      </c>
      <c r="C273" s="42" t="s">
        <v>16</v>
      </c>
      <c r="D273" s="43">
        <v>86</v>
      </c>
      <c r="E273" s="43">
        <v>7594000</v>
      </c>
      <c r="F273" s="43">
        <v>1343</v>
      </c>
      <c r="G273" s="43">
        <v>354362300</v>
      </c>
      <c r="H273" s="43">
        <v>3</v>
      </c>
      <c r="I273" s="43">
        <v>1084200</v>
      </c>
      <c r="J273" s="43">
        <v>8</v>
      </c>
      <c r="K273" s="43">
        <v>14200</v>
      </c>
      <c r="L273" s="43">
        <v>37</v>
      </c>
      <c r="M273" s="43">
        <v>20481000</v>
      </c>
      <c r="N273" s="43">
        <v>29</v>
      </c>
      <c r="O273" s="43">
        <v>11947400</v>
      </c>
      <c r="P273" s="43">
        <v>7</v>
      </c>
      <c r="Q273" s="43">
        <v>8024000</v>
      </c>
      <c r="R273" s="43">
        <v>1</v>
      </c>
      <c r="S273" s="43">
        <v>509600</v>
      </c>
      <c r="T273" s="44">
        <f t="shared" si="24"/>
        <v>1477</v>
      </c>
      <c r="U273" s="44">
        <f t="shared" si="24"/>
        <v>383535700</v>
      </c>
      <c r="V273" s="45">
        <f t="shared" si="25"/>
        <v>0.92676248912421977</v>
      </c>
      <c r="W273" s="44">
        <f t="shared" si="26"/>
        <v>1346</v>
      </c>
      <c r="X273" s="44">
        <f t="shared" si="27"/>
        <v>355956100</v>
      </c>
      <c r="Y273" s="43">
        <f t="shared" si="28"/>
        <v>264076.15156017832</v>
      </c>
      <c r="Z273" s="45">
        <f t="shared" si="29"/>
        <v>1.3286898716338531E-3</v>
      </c>
    </row>
    <row r="274" spans="1:26">
      <c r="A274" s="42" t="s">
        <v>616</v>
      </c>
      <c r="B274" s="42" t="s">
        <v>617</v>
      </c>
      <c r="C274" s="42" t="s">
        <v>16</v>
      </c>
      <c r="D274" s="43">
        <v>156</v>
      </c>
      <c r="E274" s="43">
        <v>13910600</v>
      </c>
      <c r="F274" s="43">
        <v>1863</v>
      </c>
      <c r="G274" s="43">
        <v>644816900</v>
      </c>
      <c r="H274" s="43">
        <v>168</v>
      </c>
      <c r="I274" s="43">
        <v>72529100</v>
      </c>
      <c r="J274" s="43">
        <v>239</v>
      </c>
      <c r="K274" s="43">
        <v>2619500</v>
      </c>
      <c r="L274" s="43">
        <v>31</v>
      </c>
      <c r="M274" s="43">
        <v>34319200</v>
      </c>
      <c r="N274" s="43">
        <v>22</v>
      </c>
      <c r="O274" s="43">
        <v>16192600</v>
      </c>
      <c r="P274" s="43">
        <v>8</v>
      </c>
      <c r="Q274" s="43">
        <v>17716700</v>
      </c>
      <c r="R274" s="43">
        <v>1</v>
      </c>
      <c r="S274" s="43">
        <v>409900</v>
      </c>
      <c r="T274" s="44">
        <f t="shared" si="24"/>
        <v>2457</v>
      </c>
      <c r="U274" s="44">
        <f t="shared" si="24"/>
        <v>768195300</v>
      </c>
      <c r="V274" s="45">
        <f t="shared" si="25"/>
        <v>0.93380680668054072</v>
      </c>
      <c r="W274" s="44">
        <f t="shared" si="26"/>
        <v>2031</v>
      </c>
      <c r="X274" s="44">
        <f t="shared" si="27"/>
        <v>717755900</v>
      </c>
      <c r="Y274" s="43">
        <f t="shared" si="28"/>
        <v>353198.42442146724</v>
      </c>
      <c r="Z274" s="45">
        <f t="shared" si="29"/>
        <v>5.3358826850411606E-4</v>
      </c>
    </row>
    <row r="275" spans="1:26">
      <c r="A275" s="42" t="s">
        <v>618</v>
      </c>
      <c r="B275" s="42" t="s">
        <v>619</v>
      </c>
      <c r="C275" s="42" t="s">
        <v>16</v>
      </c>
      <c r="D275" s="43">
        <v>164</v>
      </c>
      <c r="E275" s="43">
        <v>28977700</v>
      </c>
      <c r="F275" s="43">
        <v>1158</v>
      </c>
      <c r="G275" s="43">
        <v>490067000</v>
      </c>
      <c r="H275" s="43">
        <v>282</v>
      </c>
      <c r="I275" s="43">
        <v>123850000</v>
      </c>
      <c r="J275" s="43">
        <v>513</v>
      </c>
      <c r="K275" s="43">
        <v>5970400</v>
      </c>
      <c r="L275" s="43">
        <v>57</v>
      </c>
      <c r="M275" s="43">
        <v>48136800</v>
      </c>
      <c r="N275" s="43">
        <v>49</v>
      </c>
      <c r="O275" s="43">
        <v>34335100</v>
      </c>
      <c r="P275" s="43">
        <v>4</v>
      </c>
      <c r="Q275" s="43">
        <v>11539200</v>
      </c>
      <c r="R275" s="43">
        <v>4</v>
      </c>
      <c r="S275" s="43">
        <v>2262500</v>
      </c>
      <c r="T275" s="44">
        <f t="shared" si="24"/>
        <v>2174</v>
      </c>
      <c r="U275" s="44">
        <f t="shared" si="24"/>
        <v>697001900</v>
      </c>
      <c r="V275" s="45">
        <f t="shared" si="25"/>
        <v>0.88079673814375536</v>
      </c>
      <c r="W275" s="44">
        <f t="shared" si="26"/>
        <v>1440</v>
      </c>
      <c r="X275" s="44">
        <f t="shared" si="27"/>
        <v>616179500</v>
      </c>
      <c r="Y275" s="43">
        <f t="shared" si="28"/>
        <v>426331.25</v>
      </c>
      <c r="Z275" s="45">
        <f t="shared" si="29"/>
        <v>3.2460456707506823E-3</v>
      </c>
    </row>
    <row r="276" spans="1:26">
      <c r="A276" s="42" t="s">
        <v>620</v>
      </c>
      <c r="B276" s="42" t="s">
        <v>621</v>
      </c>
      <c r="C276" s="42" t="s">
        <v>16</v>
      </c>
      <c r="D276" s="43">
        <v>221</v>
      </c>
      <c r="E276" s="43">
        <v>8439598</v>
      </c>
      <c r="F276" s="43">
        <v>1584</v>
      </c>
      <c r="G276" s="43">
        <v>581642500</v>
      </c>
      <c r="H276" s="43">
        <v>2</v>
      </c>
      <c r="I276" s="43">
        <v>1337300</v>
      </c>
      <c r="J276" s="43">
        <v>10</v>
      </c>
      <c r="K276" s="43">
        <v>128264</v>
      </c>
      <c r="L276" s="43">
        <v>230</v>
      </c>
      <c r="M276" s="43">
        <v>143785100</v>
      </c>
      <c r="N276" s="43">
        <v>184</v>
      </c>
      <c r="O276" s="43">
        <v>111086000</v>
      </c>
      <c r="P276" s="43">
        <v>11</v>
      </c>
      <c r="Q276" s="43">
        <v>10599600</v>
      </c>
      <c r="R276" s="43">
        <v>35</v>
      </c>
      <c r="S276" s="43">
        <v>22099500</v>
      </c>
      <c r="T276" s="44">
        <f t="shared" si="24"/>
        <v>2047</v>
      </c>
      <c r="U276" s="44">
        <f t="shared" si="24"/>
        <v>735332762</v>
      </c>
      <c r="V276" s="45">
        <f t="shared" si="25"/>
        <v>0.79281086077870144</v>
      </c>
      <c r="W276" s="44">
        <f t="shared" si="26"/>
        <v>1586</v>
      </c>
      <c r="X276" s="44">
        <f t="shared" si="27"/>
        <v>605079300</v>
      </c>
      <c r="Y276" s="43">
        <f t="shared" si="28"/>
        <v>367578.68852459016</v>
      </c>
      <c r="Z276" s="45">
        <f t="shared" si="29"/>
        <v>3.0053740485997821E-2</v>
      </c>
    </row>
    <row r="277" spans="1:26">
      <c r="A277" s="42" t="s">
        <v>622</v>
      </c>
      <c r="B277" s="42" t="s">
        <v>623</v>
      </c>
      <c r="C277" s="42" t="s">
        <v>16</v>
      </c>
      <c r="D277" s="43">
        <v>102</v>
      </c>
      <c r="E277" s="43">
        <v>22244800</v>
      </c>
      <c r="F277" s="43">
        <v>498</v>
      </c>
      <c r="G277" s="43">
        <v>182402100</v>
      </c>
      <c r="H277" s="43">
        <v>1</v>
      </c>
      <c r="I277" s="43">
        <v>842000</v>
      </c>
      <c r="J277" s="43">
        <v>6</v>
      </c>
      <c r="K277" s="43">
        <v>5824</v>
      </c>
      <c r="L277" s="43">
        <v>64</v>
      </c>
      <c r="M277" s="43">
        <v>124215600</v>
      </c>
      <c r="N277" s="43">
        <v>57</v>
      </c>
      <c r="O277" s="43">
        <v>105616600</v>
      </c>
      <c r="P277" s="43">
        <v>6</v>
      </c>
      <c r="Q277" s="43">
        <v>17298000</v>
      </c>
      <c r="R277" s="43">
        <v>1</v>
      </c>
      <c r="S277" s="43">
        <v>1301000</v>
      </c>
      <c r="T277" s="44">
        <f t="shared" si="24"/>
        <v>671</v>
      </c>
      <c r="U277" s="44">
        <f t="shared" si="24"/>
        <v>329710324</v>
      </c>
      <c r="V277" s="45">
        <f t="shared" si="25"/>
        <v>0.55577301243378718</v>
      </c>
      <c r="W277" s="44">
        <f t="shared" si="26"/>
        <v>499</v>
      </c>
      <c r="X277" s="44">
        <f t="shared" si="27"/>
        <v>184545100</v>
      </c>
      <c r="Y277" s="43">
        <f t="shared" si="28"/>
        <v>367222.64529058116</v>
      </c>
      <c r="Z277" s="45">
        <f t="shared" si="29"/>
        <v>3.9458879667959683E-3</v>
      </c>
    </row>
    <row r="278" spans="1:26">
      <c r="A278" s="42" t="s">
        <v>624</v>
      </c>
      <c r="B278" s="42" t="s">
        <v>625</v>
      </c>
      <c r="C278" s="42" t="s">
        <v>16</v>
      </c>
      <c r="D278" s="43">
        <v>186</v>
      </c>
      <c r="E278" s="43">
        <v>11955500</v>
      </c>
      <c r="F278" s="43">
        <v>2036</v>
      </c>
      <c r="G278" s="43">
        <v>621807400</v>
      </c>
      <c r="H278" s="43">
        <v>214</v>
      </c>
      <c r="I278" s="43">
        <v>74728800</v>
      </c>
      <c r="J278" s="43">
        <v>295</v>
      </c>
      <c r="K278" s="43">
        <v>2020910</v>
      </c>
      <c r="L278" s="43">
        <v>79</v>
      </c>
      <c r="M278" s="43">
        <v>40389700</v>
      </c>
      <c r="N278" s="43">
        <v>69</v>
      </c>
      <c r="O278" s="43">
        <v>33751300</v>
      </c>
      <c r="P278" s="43">
        <v>6</v>
      </c>
      <c r="Q278" s="43">
        <v>4441300</v>
      </c>
      <c r="R278" s="43">
        <v>4</v>
      </c>
      <c r="S278" s="43">
        <v>2197100</v>
      </c>
      <c r="T278" s="44">
        <f t="shared" si="24"/>
        <v>2810</v>
      </c>
      <c r="U278" s="44">
        <f t="shared" si="24"/>
        <v>750902310</v>
      </c>
      <c r="V278" s="45">
        <f t="shared" si="25"/>
        <v>0.92759895757944866</v>
      </c>
      <c r="W278" s="44">
        <f t="shared" si="26"/>
        <v>2250</v>
      </c>
      <c r="X278" s="44">
        <f t="shared" si="27"/>
        <v>698733300</v>
      </c>
      <c r="Y278" s="43">
        <f t="shared" si="28"/>
        <v>309571.64444444445</v>
      </c>
      <c r="Z278" s="45">
        <f t="shared" si="29"/>
        <v>2.9259465189286739E-3</v>
      </c>
    </row>
    <row r="279" spans="1:26">
      <c r="A279" s="42" t="s">
        <v>626</v>
      </c>
      <c r="B279" s="42" t="s">
        <v>627</v>
      </c>
      <c r="C279" s="42" t="s">
        <v>16</v>
      </c>
      <c r="D279" s="43">
        <v>50</v>
      </c>
      <c r="E279" s="43">
        <v>1505600</v>
      </c>
      <c r="F279" s="43">
        <v>416</v>
      </c>
      <c r="G279" s="43">
        <v>95519000</v>
      </c>
      <c r="H279" s="43">
        <v>4</v>
      </c>
      <c r="I279" s="43">
        <v>1408500</v>
      </c>
      <c r="J279" s="43">
        <v>10</v>
      </c>
      <c r="K279" s="43">
        <v>40000</v>
      </c>
      <c r="L279" s="43">
        <v>46</v>
      </c>
      <c r="M279" s="43">
        <v>23849570</v>
      </c>
      <c r="N279" s="43">
        <v>42</v>
      </c>
      <c r="O279" s="43">
        <v>12455970</v>
      </c>
      <c r="P279" s="43">
        <v>3</v>
      </c>
      <c r="Q279" s="43">
        <v>8155400</v>
      </c>
      <c r="R279" s="43">
        <v>1</v>
      </c>
      <c r="S279" s="43">
        <v>3238200</v>
      </c>
      <c r="T279" s="44">
        <f t="shared" si="24"/>
        <v>526</v>
      </c>
      <c r="U279" s="44">
        <f t="shared" si="24"/>
        <v>122322670</v>
      </c>
      <c r="V279" s="45">
        <f t="shared" si="25"/>
        <v>0.79239195808920782</v>
      </c>
      <c r="W279" s="44">
        <f t="shared" si="26"/>
        <v>420</v>
      </c>
      <c r="X279" s="44">
        <f t="shared" si="27"/>
        <v>100165700</v>
      </c>
      <c r="Y279" s="43">
        <f t="shared" si="28"/>
        <v>230779.76190476189</v>
      </c>
      <c r="Z279" s="45">
        <f t="shared" si="29"/>
        <v>2.6472607244429836E-2</v>
      </c>
    </row>
    <row r="280" spans="1:26">
      <c r="A280" s="42" t="s">
        <v>628</v>
      </c>
      <c r="B280" s="42" t="s">
        <v>629</v>
      </c>
      <c r="C280" s="42" t="s">
        <v>16</v>
      </c>
      <c r="D280" s="43">
        <v>623</v>
      </c>
      <c r="E280" s="43">
        <v>96565800</v>
      </c>
      <c r="F280" s="43">
        <v>7735</v>
      </c>
      <c r="G280" s="43">
        <v>3484001475</v>
      </c>
      <c r="H280" s="43">
        <v>157</v>
      </c>
      <c r="I280" s="43">
        <v>74711900</v>
      </c>
      <c r="J280" s="43">
        <v>286</v>
      </c>
      <c r="K280" s="43">
        <v>3076100</v>
      </c>
      <c r="L280" s="43">
        <v>324</v>
      </c>
      <c r="M280" s="43">
        <v>643268600</v>
      </c>
      <c r="N280" s="43">
        <v>290</v>
      </c>
      <c r="O280" s="43">
        <v>514729300</v>
      </c>
      <c r="P280" s="43">
        <v>29</v>
      </c>
      <c r="Q280" s="43">
        <v>115852600</v>
      </c>
      <c r="R280" s="43">
        <v>5</v>
      </c>
      <c r="S280" s="43">
        <v>12686700</v>
      </c>
      <c r="T280" s="44">
        <f t="shared" si="24"/>
        <v>9125</v>
      </c>
      <c r="U280" s="44">
        <f t="shared" si="24"/>
        <v>4301623875</v>
      </c>
      <c r="V280" s="45">
        <f t="shared" si="25"/>
        <v>0.82729533739162631</v>
      </c>
      <c r="W280" s="44">
        <f t="shared" si="26"/>
        <v>7892</v>
      </c>
      <c r="X280" s="44">
        <f t="shared" si="27"/>
        <v>3571400075</v>
      </c>
      <c r="Y280" s="43">
        <f t="shared" si="28"/>
        <v>450926.68208312214</v>
      </c>
      <c r="Z280" s="45">
        <f t="shared" si="29"/>
        <v>2.9492815663712578E-3</v>
      </c>
    </row>
    <row r="281" spans="1:26">
      <c r="A281" s="42" t="s">
        <v>630</v>
      </c>
      <c r="B281" s="42" t="s">
        <v>631</v>
      </c>
      <c r="C281" s="42" t="s">
        <v>16</v>
      </c>
      <c r="D281" s="43">
        <v>467</v>
      </c>
      <c r="E281" s="43">
        <v>34914260</v>
      </c>
      <c r="F281" s="43">
        <v>5528</v>
      </c>
      <c r="G281" s="43">
        <v>2151444900</v>
      </c>
      <c r="H281" s="43">
        <v>331</v>
      </c>
      <c r="I281" s="43">
        <v>138461600</v>
      </c>
      <c r="J281" s="43">
        <v>490</v>
      </c>
      <c r="K281" s="43">
        <v>4627500</v>
      </c>
      <c r="L281" s="43">
        <v>274</v>
      </c>
      <c r="M281" s="43">
        <v>503876900</v>
      </c>
      <c r="N281" s="43">
        <v>233</v>
      </c>
      <c r="O281" s="43">
        <v>452457800</v>
      </c>
      <c r="P281" s="43">
        <v>39</v>
      </c>
      <c r="Q281" s="43">
        <v>50137700</v>
      </c>
      <c r="R281" s="43">
        <v>2</v>
      </c>
      <c r="S281" s="43">
        <v>1281400</v>
      </c>
      <c r="T281" s="44">
        <f t="shared" si="24"/>
        <v>7090</v>
      </c>
      <c r="U281" s="44">
        <f t="shared" si="24"/>
        <v>2833325160</v>
      </c>
      <c r="V281" s="45">
        <f t="shared" si="25"/>
        <v>0.80820462555028449</v>
      </c>
      <c r="W281" s="44">
        <f t="shared" si="26"/>
        <v>5859</v>
      </c>
      <c r="X281" s="44">
        <f t="shared" si="27"/>
        <v>2291187900</v>
      </c>
      <c r="Y281" s="43">
        <f t="shared" si="28"/>
        <v>390835.72281959379</v>
      </c>
      <c r="Z281" s="45">
        <f t="shared" si="29"/>
        <v>4.5226012816686385E-4</v>
      </c>
    </row>
    <row r="282" spans="1:26">
      <c r="A282" s="42" t="s">
        <v>632</v>
      </c>
      <c r="B282" s="42" t="s">
        <v>633</v>
      </c>
      <c r="C282" s="42" t="s">
        <v>16</v>
      </c>
      <c r="D282" s="43">
        <v>20</v>
      </c>
      <c r="E282" s="43">
        <v>3297400</v>
      </c>
      <c r="F282" s="43">
        <v>206</v>
      </c>
      <c r="G282" s="43">
        <v>77769800</v>
      </c>
      <c r="H282" s="43">
        <v>2</v>
      </c>
      <c r="I282" s="43">
        <v>845100</v>
      </c>
      <c r="J282" s="43">
        <v>6</v>
      </c>
      <c r="K282" s="43">
        <v>24600</v>
      </c>
      <c r="L282" s="43">
        <v>29</v>
      </c>
      <c r="M282" s="43">
        <v>15351900</v>
      </c>
      <c r="N282" s="43">
        <v>26</v>
      </c>
      <c r="O282" s="43">
        <v>13969300</v>
      </c>
      <c r="P282" s="43">
        <v>1</v>
      </c>
      <c r="Q282" s="43">
        <v>364000</v>
      </c>
      <c r="R282" s="43">
        <v>2</v>
      </c>
      <c r="S282" s="43">
        <v>1018600</v>
      </c>
      <c r="T282" s="44">
        <f t="shared" si="24"/>
        <v>263</v>
      </c>
      <c r="U282" s="44">
        <f t="shared" si="24"/>
        <v>97288800</v>
      </c>
      <c r="V282" s="45">
        <f t="shared" si="25"/>
        <v>0.80805704253727051</v>
      </c>
      <c r="W282" s="44">
        <f t="shared" si="26"/>
        <v>208</v>
      </c>
      <c r="X282" s="44">
        <f t="shared" si="27"/>
        <v>79633500</v>
      </c>
      <c r="Y282" s="43">
        <f t="shared" si="28"/>
        <v>377956.25</v>
      </c>
      <c r="Z282" s="45">
        <f t="shared" si="29"/>
        <v>1.0469858812114036E-2</v>
      </c>
    </row>
    <row r="283" spans="1:26">
      <c r="A283" s="42" t="s">
        <v>634</v>
      </c>
      <c r="B283" s="42" t="s">
        <v>635</v>
      </c>
      <c r="C283" s="42" t="s">
        <v>16</v>
      </c>
      <c r="D283" s="43">
        <v>161</v>
      </c>
      <c r="E283" s="43">
        <v>14265900</v>
      </c>
      <c r="F283" s="43">
        <v>1923</v>
      </c>
      <c r="G283" s="43">
        <v>1049742100</v>
      </c>
      <c r="H283" s="43">
        <v>342</v>
      </c>
      <c r="I283" s="43">
        <v>222657400</v>
      </c>
      <c r="J283" s="43">
        <v>565</v>
      </c>
      <c r="K283" s="43">
        <v>3611000</v>
      </c>
      <c r="L283" s="43">
        <v>41</v>
      </c>
      <c r="M283" s="43">
        <v>63795300</v>
      </c>
      <c r="N283" s="43">
        <v>40</v>
      </c>
      <c r="O283" s="43">
        <v>58491300</v>
      </c>
      <c r="P283" s="43">
        <v>1</v>
      </c>
      <c r="Q283" s="43">
        <v>5304000</v>
      </c>
      <c r="R283" s="43"/>
      <c r="S283" s="43"/>
      <c r="T283" s="44">
        <f t="shared" si="24"/>
        <v>3032</v>
      </c>
      <c r="U283" s="44">
        <f t="shared" si="24"/>
        <v>1354071700</v>
      </c>
      <c r="V283" s="45">
        <f t="shared" si="25"/>
        <v>0.93968399162319105</v>
      </c>
      <c r="W283" s="44">
        <f t="shared" si="26"/>
        <v>2265</v>
      </c>
      <c r="X283" s="44">
        <f t="shared" si="27"/>
        <v>1272399500</v>
      </c>
      <c r="Y283" s="43">
        <f t="shared" si="28"/>
        <v>561765.78366445913</v>
      </c>
      <c r="Z283" s="45">
        <f t="shared" si="29"/>
        <v>0</v>
      </c>
    </row>
    <row r="284" spans="1:26">
      <c r="A284" s="42" t="s">
        <v>636</v>
      </c>
      <c r="B284" s="42" t="s">
        <v>637</v>
      </c>
      <c r="C284" s="42" t="s">
        <v>16</v>
      </c>
      <c r="D284" s="43">
        <v>127</v>
      </c>
      <c r="E284" s="43">
        <v>17071053</v>
      </c>
      <c r="F284" s="43">
        <v>1713</v>
      </c>
      <c r="G284" s="43">
        <v>519230400</v>
      </c>
      <c r="H284" s="43">
        <v>94</v>
      </c>
      <c r="I284" s="43">
        <v>32247700</v>
      </c>
      <c r="J284" s="43">
        <v>154</v>
      </c>
      <c r="K284" s="43">
        <v>1073165</v>
      </c>
      <c r="L284" s="43">
        <v>71</v>
      </c>
      <c r="M284" s="43">
        <v>107715800</v>
      </c>
      <c r="N284" s="43">
        <v>64</v>
      </c>
      <c r="O284" s="43">
        <v>93292800</v>
      </c>
      <c r="P284" s="43">
        <v>6</v>
      </c>
      <c r="Q284" s="43">
        <v>14192100</v>
      </c>
      <c r="R284" s="43">
        <v>1</v>
      </c>
      <c r="S284" s="43">
        <v>230900</v>
      </c>
      <c r="T284" s="44">
        <f t="shared" si="24"/>
        <v>2159</v>
      </c>
      <c r="U284" s="44">
        <f t="shared" si="24"/>
        <v>677338118</v>
      </c>
      <c r="V284" s="45">
        <f t="shared" si="25"/>
        <v>0.81418435688865221</v>
      </c>
      <c r="W284" s="44">
        <f t="shared" si="26"/>
        <v>1807</v>
      </c>
      <c r="X284" s="44">
        <f t="shared" si="27"/>
        <v>551709000</v>
      </c>
      <c r="Y284" s="43">
        <f t="shared" si="28"/>
        <v>305189.87271721085</v>
      </c>
      <c r="Z284" s="45">
        <f t="shared" si="29"/>
        <v>3.4089326122939385E-4</v>
      </c>
    </row>
    <row r="285" spans="1:26">
      <c r="A285" s="42" t="s">
        <v>638</v>
      </c>
      <c r="B285" s="42" t="s">
        <v>639</v>
      </c>
      <c r="C285" s="42" t="s">
        <v>16</v>
      </c>
      <c r="D285" s="43">
        <v>186</v>
      </c>
      <c r="E285" s="43">
        <v>12194200</v>
      </c>
      <c r="F285" s="43">
        <v>921</v>
      </c>
      <c r="G285" s="43">
        <v>393294500</v>
      </c>
      <c r="H285" s="43">
        <v>147</v>
      </c>
      <c r="I285" s="43">
        <v>87906400</v>
      </c>
      <c r="J285" s="43">
        <v>287</v>
      </c>
      <c r="K285" s="43">
        <v>2417000</v>
      </c>
      <c r="L285" s="43">
        <v>51</v>
      </c>
      <c r="M285" s="43">
        <v>38425369</v>
      </c>
      <c r="N285" s="43">
        <v>41</v>
      </c>
      <c r="O285" s="43">
        <v>25084069</v>
      </c>
      <c r="P285" s="43">
        <v>7</v>
      </c>
      <c r="Q285" s="43">
        <v>11864400</v>
      </c>
      <c r="R285" s="43">
        <v>3</v>
      </c>
      <c r="S285" s="43">
        <v>1476900</v>
      </c>
      <c r="T285" s="44">
        <f t="shared" si="24"/>
        <v>1592</v>
      </c>
      <c r="U285" s="44">
        <f t="shared" si="24"/>
        <v>534237469</v>
      </c>
      <c r="V285" s="45">
        <f t="shared" si="25"/>
        <v>0.90072472996086317</v>
      </c>
      <c r="W285" s="44">
        <f t="shared" si="26"/>
        <v>1068</v>
      </c>
      <c r="X285" s="44">
        <f t="shared" si="27"/>
        <v>482677800</v>
      </c>
      <c r="Y285" s="43">
        <f t="shared" si="28"/>
        <v>450562.64044943819</v>
      </c>
      <c r="Z285" s="45">
        <f t="shared" si="29"/>
        <v>2.7645009676399166E-3</v>
      </c>
    </row>
    <row r="286" spans="1:26">
      <c r="A286" s="42" t="s">
        <v>640</v>
      </c>
      <c r="B286" s="42" t="s">
        <v>641</v>
      </c>
      <c r="C286" s="42" t="s">
        <v>17</v>
      </c>
      <c r="D286" s="43">
        <v>413</v>
      </c>
      <c r="E286" s="43">
        <v>25868000</v>
      </c>
      <c r="F286" s="43">
        <v>7672</v>
      </c>
      <c r="G286" s="43">
        <v>1024066400</v>
      </c>
      <c r="H286" s="43">
        <v>34</v>
      </c>
      <c r="I286" s="43">
        <v>5841500</v>
      </c>
      <c r="J286" s="43">
        <v>115</v>
      </c>
      <c r="K286" s="43">
        <v>1457280</v>
      </c>
      <c r="L286" s="43">
        <v>181</v>
      </c>
      <c r="M286" s="43">
        <v>349675500</v>
      </c>
      <c r="N286" s="43">
        <v>151</v>
      </c>
      <c r="O286" s="43">
        <v>224239200</v>
      </c>
      <c r="P286" s="43">
        <v>11</v>
      </c>
      <c r="Q286" s="43">
        <v>52647300</v>
      </c>
      <c r="R286" s="43">
        <v>19</v>
      </c>
      <c r="S286" s="43">
        <v>72789000</v>
      </c>
      <c r="T286" s="44">
        <f t="shared" si="24"/>
        <v>8415</v>
      </c>
      <c r="U286" s="44">
        <f t="shared" si="24"/>
        <v>1406908680</v>
      </c>
      <c r="V286" s="45">
        <f t="shared" si="25"/>
        <v>0.73203606932043375</v>
      </c>
      <c r="W286" s="44">
        <f t="shared" si="26"/>
        <v>7706</v>
      </c>
      <c r="X286" s="44">
        <f t="shared" si="27"/>
        <v>1102696900</v>
      </c>
      <c r="Y286" s="43">
        <f t="shared" si="28"/>
        <v>133650.12976901117</v>
      </c>
      <c r="Z286" s="45">
        <f t="shared" si="29"/>
        <v>5.1736833409827279E-2</v>
      </c>
    </row>
    <row r="287" spans="1:26">
      <c r="A287" s="42" t="s">
        <v>642</v>
      </c>
      <c r="B287" s="42" t="s">
        <v>643</v>
      </c>
      <c r="C287" s="42" t="s">
        <v>17</v>
      </c>
      <c r="D287" s="43">
        <v>437</v>
      </c>
      <c r="E287" s="43">
        <v>16022300</v>
      </c>
      <c r="F287" s="43">
        <v>10562</v>
      </c>
      <c r="G287" s="43">
        <v>1306857100</v>
      </c>
      <c r="H287" s="43"/>
      <c r="I287" s="43"/>
      <c r="J287" s="43">
        <v>4</v>
      </c>
      <c r="K287" s="43">
        <v>77600</v>
      </c>
      <c r="L287" s="43">
        <v>632</v>
      </c>
      <c r="M287" s="43">
        <v>496642200</v>
      </c>
      <c r="N287" s="43">
        <v>594</v>
      </c>
      <c r="O287" s="43">
        <v>414891500</v>
      </c>
      <c r="P287" s="43">
        <v>19</v>
      </c>
      <c r="Q287" s="43">
        <v>16415000</v>
      </c>
      <c r="R287" s="43">
        <v>19</v>
      </c>
      <c r="S287" s="43">
        <v>65335700</v>
      </c>
      <c r="T287" s="44">
        <f t="shared" si="24"/>
        <v>11635</v>
      </c>
      <c r="U287" s="44">
        <f t="shared" si="24"/>
        <v>1819599200</v>
      </c>
      <c r="V287" s="45">
        <f t="shared" si="25"/>
        <v>0.71821151603056321</v>
      </c>
      <c r="W287" s="44">
        <f t="shared" si="26"/>
        <v>10562</v>
      </c>
      <c r="X287" s="44">
        <f t="shared" si="27"/>
        <v>1372192800</v>
      </c>
      <c r="Y287" s="43">
        <f t="shared" si="28"/>
        <v>123731.97311115319</v>
      </c>
      <c r="Z287" s="45">
        <f t="shared" si="29"/>
        <v>3.5906643616902011E-2</v>
      </c>
    </row>
    <row r="288" spans="1:26">
      <c r="A288" s="42" t="s">
        <v>644</v>
      </c>
      <c r="B288" s="42" t="s">
        <v>100</v>
      </c>
      <c r="C288" s="42" t="s">
        <v>17</v>
      </c>
      <c r="D288" s="43">
        <v>1406</v>
      </c>
      <c r="E288" s="43">
        <v>75950509</v>
      </c>
      <c r="F288" s="43">
        <v>28641</v>
      </c>
      <c r="G288" s="43">
        <v>3839193850</v>
      </c>
      <c r="H288" s="43">
        <v>64</v>
      </c>
      <c r="I288" s="43">
        <v>13756500</v>
      </c>
      <c r="J288" s="43">
        <v>119</v>
      </c>
      <c r="K288" s="43">
        <v>1909085</v>
      </c>
      <c r="L288" s="43">
        <v>1675</v>
      </c>
      <c r="M288" s="43">
        <v>1239382100</v>
      </c>
      <c r="N288" s="43">
        <v>1557</v>
      </c>
      <c r="O288" s="43">
        <v>986974800</v>
      </c>
      <c r="P288" s="43">
        <v>60</v>
      </c>
      <c r="Q288" s="43">
        <v>96760100</v>
      </c>
      <c r="R288" s="43">
        <v>58</v>
      </c>
      <c r="S288" s="43">
        <v>155647200</v>
      </c>
      <c r="T288" s="44">
        <f t="shared" si="24"/>
        <v>31905</v>
      </c>
      <c r="U288" s="44">
        <f t="shared" si="24"/>
        <v>5170192044</v>
      </c>
      <c r="V288" s="45">
        <f t="shared" si="25"/>
        <v>0.74522383640881251</v>
      </c>
      <c r="W288" s="44">
        <f t="shared" si="26"/>
        <v>28705</v>
      </c>
      <c r="X288" s="44">
        <f t="shared" si="27"/>
        <v>4008597550</v>
      </c>
      <c r="Y288" s="43">
        <f t="shared" si="28"/>
        <v>134225.75683678803</v>
      </c>
      <c r="Z288" s="45">
        <f t="shared" si="29"/>
        <v>3.0104723127379444E-2</v>
      </c>
    </row>
    <row r="289" spans="1:26">
      <c r="A289" s="42" t="s">
        <v>645</v>
      </c>
      <c r="B289" s="42" t="s">
        <v>646</v>
      </c>
      <c r="C289" s="42" t="s">
        <v>17</v>
      </c>
      <c r="D289" s="43">
        <v>125</v>
      </c>
      <c r="E289" s="43">
        <v>3469600</v>
      </c>
      <c r="F289" s="43">
        <v>1413</v>
      </c>
      <c r="G289" s="43">
        <v>168747700</v>
      </c>
      <c r="H289" s="43"/>
      <c r="I289" s="43"/>
      <c r="J289" s="43"/>
      <c r="K289" s="43"/>
      <c r="L289" s="43">
        <v>110</v>
      </c>
      <c r="M289" s="43">
        <v>42679800</v>
      </c>
      <c r="N289" s="43">
        <v>99</v>
      </c>
      <c r="O289" s="43">
        <v>33275800</v>
      </c>
      <c r="P289" s="43">
        <v>6</v>
      </c>
      <c r="Q289" s="43">
        <v>1936000</v>
      </c>
      <c r="R289" s="43">
        <v>5</v>
      </c>
      <c r="S289" s="43">
        <v>7468000</v>
      </c>
      <c r="T289" s="44">
        <f t="shared" si="24"/>
        <v>1648</v>
      </c>
      <c r="U289" s="44">
        <f t="shared" si="24"/>
        <v>214897100</v>
      </c>
      <c r="V289" s="45">
        <f t="shared" si="25"/>
        <v>0.78524884700631137</v>
      </c>
      <c r="W289" s="44">
        <f t="shared" si="26"/>
        <v>1413</v>
      </c>
      <c r="X289" s="44">
        <f t="shared" si="27"/>
        <v>176215700</v>
      </c>
      <c r="Y289" s="43">
        <f t="shared" si="28"/>
        <v>119425.12384996461</v>
      </c>
      <c r="Z289" s="45">
        <f t="shared" si="29"/>
        <v>3.475151595810274E-2</v>
      </c>
    </row>
    <row r="290" spans="1:26">
      <c r="A290" s="42" t="s">
        <v>647</v>
      </c>
      <c r="B290" s="42" t="s">
        <v>648</v>
      </c>
      <c r="C290" s="42" t="s">
        <v>17</v>
      </c>
      <c r="D290" s="43">
        <v>29</v>
      </c>
      <c r="E290" s="43">
        <v>4177000</v>
      </c>
      <c r="F290" s="43">
        <v>665</v>
      </c>
      <c r="G290" s="43">
        <v>300098300</v>
      </c>
      <c r="H290" s="43">
        <v>3</v>
      </c>
      <c r="I290" s="43">
        <v>2079800</v>
      </c>
      <c r="J290" s="43">
        <v>3</v>
      </c>
      <c r="K290" s="43">
        <v>28000</v>
      </c>
      <c r="L290" s="43">
        <v>76</v>
      </c>
      <c r="M290" s="43">
        <v>53868400</v>
      </c>
      <c r="N290" s="43">
        <v>71</v>
      </c>
      <c r="O290" s="43">
        <v>50687800</v>
      </c>
      <c r="P290" s="43">
        <v>2</v>
      </c>
      <c r="Q290" s="43">
        <v>857700</v>
      </c>
      <c r="R290" s="43">
        <v>3</v>
      </c>
      <c r="S290" s="43">
        <v>2322900</v>
      </c>
      <c r="T290" s="44">
        <f t="shared" si="24"/>
        <v>776</v>
      </c>
      <c r="U290" s="44">
        <f t="shared" si="24"/>
        <v>360251500</v>
      </c>
      <c r="V290" s="45">
        <f t="shared" si="25"/>
        <v>0.83879761777535966</v>
      </c>
      <c r="W290" s="44">
        <f t="shared" si="26"/>
        <v>668</v>
      </c>
      <c r="X290" s="44">
        <f t="shared" si="27"/>
        <v>304501000</v>
      </c>
      <c r="Y290" s="43">
        <f t="shared" si="28"/>
        <v>452362.4251497006</v>
      </c>
      <c r="Z290" s="45">
        <f t="shared" si="29"/>
        <v>6.4479953587979512E-3</v>
      </c>
    </row>
    <row r="291" spans="1:26">
      <c r="A291" s="42" t="s">
        <v>649</v>
      </c>
      <c r="B291" s="42" t="s">
        <v>461</v>
      </c>
      <c r="C291" s="42" t="s">
        <v>17</v>
      </c>
      <c r="D291" s="43">
        <v>381</v>
      </c>
      <c r="E291" s="43">
        <v>74087600</v>
      </c>
      <c r="F291" s="43">
        <v>5885</v>
      </c>
      <c r="G291" s="43">
        <v>3212378300</v>
      </c>
      <c r="H291" s="43">
        <v>319</v>
      </c>
      <c r="I291" s="43">
        <v>274180900</v>
      </c>
      <c r="J291" s="43">
        <v>534</v>
      </c>
      <c r="K291" s="43">
        <v>5685000</v>
      </c>
      <c r="L291" s="43">
        <v>208</v>
      </c>
      <c r="M291" s="43">
        <v>978120500</v>
      </c>
      <c r="N291" s="43">
        <v>172</v>
      </c>
      <c r="O291" s="43">
        <v>581069700</v>
      </c>
      <c r="P291" s="43">
        <v>30</v>
      </c>
      <c r="Q291" s="43">
        <v>391819200</v>
      </c>
      <c r="R291" s="43">
        <v>6</v>
      </c>
      <c r="S291" s="43">
        <v>5231600</v>
      </c>
      <c r="T291" s="44">
        <f t="shared" si="24"/>
        <v>7327</v>
      </c>
      <c r="U291" s="44">
        <f t="shared" si="24"/>
        <v>4544452300</v>
      </c>
      <c r="V291" s="45">
        <f t="shared" si="25"/>
        <v>0.76721218968455229</v>
      </c>
      <c r="W291" s="44">
        <f t="shared" si="26"/>
        <v>6204</v>
      </c>
      <c r="X291" s="44">
        <f t="shared" si="27"/>
        <v>3491790800</v>
      </c>
      <c r="Y291" s="43">
        <f t="shared" si="28"/>
        <v>561985.68665377179</v>
      </c>
      <c r="Z291" s="45">
        <f t="shared" si="29"/>
        <v>1.1512058339791574E-3</v>
      </c>
    </row>
    <row r="292" spans="1:26">
      <c r="A292" s="42" t="s">
        <v>650</v>
      </c>
      <c r="B292" s="42" t="s">
        <v>463</v>
      </c>
      <c r="C292" s="42" t="s">
        <v>17</v>
      </c>
      <c r="D292" s="43">
        <v>743</v>
      </c>
      <c r="E292" s="43">
        <v>43404500</v>
      </c>
      <c r="F292" s="43">
        <v>9814</v>
      </c>
      <c r="G292" s="43">
        <v>1616593450</v>
      </c>
      <c r="H292" s="43">
        <v>46</v>
      </c>
      <c r="I292" s="43">
        <v>15640600</v>
      </c>
      <c r="J292" s="43">
        <v>85</v>
      </c>
      <c r="K292" s="43">
        <v>627000</v>
      </c>
      <c r="L292" s="43">
        <v>463</v>
      </c>
      <c r="M292" s="43">
        <v>1011758873</v>
      </c>
      <c r="N292" s="43">
        <v>407</v>
      </c>
      <c r="O292" s="43">
        <v>837686073</v>
      </c>
      <c r="P292" s="43">
        <v>36</v>
      </c>
      <c r="Q292" s="43">
        <v>45244100</v>
      </c>
      <c r="R292" s="43">
        <v>20</v>
      </c>
      <c r="S292" s="43">
        <v>128828700</v>
      </c>
      <c r="T292" s="44">
        <f t="shared" si="24"/>
        <v>11151</v>
      </c>
      <c r="U292" s="44">
        <f t="shared" si="24"/>
        <v>2688024423</v>
      </c>
      <c r="V292" s="45">
        <f t="shared" si="25"/>
        <v>0.60722441211241929</v>
      </c>
      <c r="W292" s="44">
        <f t="shared" si="26"/>
        <v>9860</v>
      </c>
      <c r="X292" s="44">
        <f t="shared" si="27"/>
        <v>1761062750</v>
      </c>
      <c r="Y292" s="43">
        <f t="shared" si="28"/>
        <v>165540.97870182554</v>
      </c>
      <c r="Z292" s="45">
        <f t="shared" si="29"/>
        <v>4.7926908289106715E-2</v>
      </c>
    </row>
    <row r="293" spans="1:26">
      <c r="A293" s="42" t="s">
        <v>651</v>
      </c>
      <c r="B293" s="42" t="s">
        <v>652</v>
      </c>
      <c r="C293" s="42" t="s">
        <v>17</v>
      </c>
      <c r="D293" s="43">
        <v>55</v>
      </c>
      <c r="E293" s="43">
        <v>2416800</v>
      </c>
      <c r="F293" s="43">
        <v>863</v>
      </c>
      <c r="G293" s="43">
        <v>455363500</v>
      </c>
      <c r="H293" s="43"/>
      <c r="I293" s="43"/>
      <c r="J293" s="43"/>
      <c r="K293" s="43"/>
      <c r="L293" s="43">
        <v>62</v>
      </c>
      <c r="M293" s="43">
        <v>63327300</v>
      </c>
      <c r="N293" s="43">
        <v>57</v>
      </c>
      <c r="O293" s="43">
        <v>54101600</v>
      </c>
      <c r="P293" s="43">
        <v>2</v>
      </c>
      <c r="Q293" s="43">
        <v>7594900</v>
      </c>
      <c r="R293" s="43">
        <v>3</v>
      </c>
      <c r="S293" s="43">
        <v>1630800</v>
      </c>
      <c r="T293" s="44">
        <f t="shared" si="24"/>
        <v>980</v>
      </c>
      <c r="U293" s="44">
        <f t="shared" si="24"/>
        <v>521107600</v>
      </c>
      <c r="V293" s="45">
        <f t="shared" si="25"/>
        <v>0.87383776402416702</v>
      </c>
      <c r="W293" s="44">
        <f t="shared" si="26"/>
        <v>863</v>
      </c>
      <c r="X293" s="44">
        <f t="shared" si="27"/>
        <v>456994300</v>
      </c>
      <c r="Y293" s="43">
        <f t="shared" si="28"/>
        <v>527651.79606025491</v>
      </c>
      <c r="Z293" s="45">
        <f t="shared" si="29"/>
        <v>3.1294880366358117E-3</v>
      </c>
    </row>
    <row r="294" spans="1:26">
      <c r="A294" s="42" t="s">
        <v>653</v>
      </c>
      <c r="B294" s="42" t="s">
        <v>654</v>
      </c>
      <c r="C294" s="42" t="s">
        <v>17</v>
      </c>
      <c r="D294" s="43">
        <v>143</v>
      </c>
      <c r="E294" s="43">
        <v>16469000</v>
      </c>
      <c r="F294" s="43">
        <v>2080</v>
      </c>
      <c r="G294" s="43">
        <v>727901400</v>
      </c>
      <c r="H294" s="43"/>
      <c r="I294" s="43"/>
      <c r="J294" s="43"/>
      <c r="K294" s="43"/>
      <c r="L294" s="43">
        <v>243</v>
      </c>
      <c r="M294" s="43">
        <v>259570200</v>
      </c>
      <c r="N294" s="43">
        <v>201</v>
      </c>
      <c r="O294" s="43">
        <v>210978700</v>
      </c>
      <c r="P294" s="43"/>
      <c r="Q294" s="43"/>
      <c r="R294" s="43">
        <v>42</v>
      </c>
      <c r="S294" s="43">
        <v>48591500</v>
      </c>
      <c r="T294" s="44">
        <f t="shared" si="24"/>
        <v>2466</v>
      </c>
      <c r="U294" s="44">
        <f t="shared" si="24"/>
        <v>1003940600</v>
      </c>
      <c r="V294" s="45">
        <f t="shared" si="25"/>
        <v>0.72504429046897789</v>
      </c>
      <c r="W294" s="44">
        <f t="shared" si="26"/>
        <v>2080</v>
      </c>
      <c r="X294" s="44">
        <f t="shared" si="27"/>
        <v>776492900</v>
      </c>
      <c r="Y294" s="43">
        <f t="shared" si="28"/>
        <v>349952.59615384613</v>
      </c>
      <c r="Z294" s="45">
        <f t="shared" si="29"/>
        <v>4.8400771918179222E-2</v>
      </c>
    </row>
    <row r="295" spans="1:26">
      <c r="A295" s="42" t="s">
        <v>655</v>
      </c>
      <c r="B295" s="42" t="s">
        <v>656</v>
      </c>
      <c r="C295" s="42" t="s">
        <v>17</v>
      </c>
      <c r="D295" s="43">
        <v>376</v>
      </c>
      <c r="E295" s="43">
        <v>47186600</v>
      </c>
      <c r="F295" s="43">
        <v>4899</v>
      </c>
      <c r="G295" s="43">
        <v>2102060600</v>
      </c>
      <c r="H295" s="43">
        <v>17</v>
      </c>
      <c r="I295" s="43">
        <v>17752700</v>
      </c>
      <c r="J295" s="43">
        <v>37</v>
      </c>
      <c r="K295" s="43">
        <v>323010</v>
      </c>
      <c r="L295" s="43">
        <v>122</v>
      </c>
      <c r="M295" s="43">
        <v>257258500</v>
      </c>
      <c r="N295" s="43">
        <v>113</v>
      </c>
      <c r="O295" s="43">
        <v>173643300</v>
      </c>
      <c r="P295" s="43">
        <v>2</v>
      </c>
      <c r="Q295" s="43">
        <v>5180100</v>
      </c>
      <c r="R295" s="43">
        <v>7</v>
      </c>
      <c r="S295" s="43">
        <v>78435100</v>
      </c>
      <c r="T295" s="44">
        <f t="shared" si="24"/>
        <v>5451</v>
      </c>
      <c r="U295" s="44">
        <f t="shared" si="24"/>
        <v>2424581410</v>
      </c>
      <c r="V295" s="45">
        <f t="shared" si="25"/>
        <v>0.87430073135799558</v>
      </c>
      <c r="W295" s="44">
        <f t="shared" si="26"/>
        <v>4916</v>
      </c>
      <c r="X295" s="44">
        <f t="shared" si="27"/>
        <v>2198248400</v>
      </c>
      <c r="Y295" s="43">
        <f t="shared" si="28"/>
        <v>431206.93653376726</v>
      </c>
      <c r="Z295" s="45">
        <f t="shared" si="29"/>
        <v>3.2349955203195259E-2</v>
      </c>
    </row>
    <row r="296" spans="1:26">
      <c r="A296" s="42" t="s">
        <v>657</v>
      </c>
      <c r="B296" s="42" t="s">
        <v>658</v>
      </c>
      <c r="C296" s="42" t="s">
        <v>17</v>
      </c>
      <c r="D296" s="43">
        <v>1132</v>
      </c>
      <c r="E296" s="43">
        <v>18073280</v>
      </c>
      <c r="F296" s="43">
        <v>21137</v>
      </c>
      <c r="G296" s="43">
        <v>1319790070</v>
      </c>
      <c r="H296" s="43"/>
      <c r="I296" s="43"/>
      <c r="J296" s="43"/>
      <c r="K296" s="43"/>
      <c r="L296" s="43">
        <v>2368</v>
      </c>
      <c r="M296" s="43">
        <v>617976460</v>
      </c>
      <c r="N296" s="43">
        <v>2122</v>
      </c>
      <c r="O296" s="43">
        <v>530895060</v>
      </c>
      <c r="P296" s="43">
        <v>88</v>
      </c>
      <c r="Q296" s="43">
        <v>43337200</v>
      </c>
      <c r="R296" s="43">
        <v>158</v>
      </c>
      <c r="S296" s="43">
        <v>43744200</v>
      </c>
      <c r="T296" s="44">
        <f t="shared" si="24"/>
        <v>24637</v>
      </c>
      <c r="U296" s="44">
        <f t="shared" si="24"/>
        <v>1955839810</v>
      </c>
      <c r="V296" s="45">
        <f t="shared" si="25"/>
        <v>0.67479456305779972</v>
      </c>
      <c r="W296" s="44">
        <f t="shared" si="26"/>
        <v>21137</v>
      </c>
      <c r="X296" s="44">
        <f t="shared" si="27"/>
        <v>1363534270</v>
      </c>
      <c r="Y296" s="43">
        <f t="shared" si="28"/>
        <v>62439.800823201025</v>
      </c>
      <c r="Z296" s="45">
        <f t="shared" si="29"/>
        <v>2.2365942126927052E-2</v>
      </c>
    </row>
    <row r="297" spans="1:26">
      <c r="A297" s="42" t="s">
        <v>659</v>
      </c>
      <c r="B297" s="42" t="s">
        <v>660</v>
      </c>
      <c r="C297" s="42" t="s">
        <v>17</v>
      </c>
      <c r="D297" s="43">
        <v>551</v>
      </c>
      <c r="E297" s="43">
        <v>115300300</v>
      </c>
      <c r="F297" s="43">
        <v>4570</v>
      </c>
      <c r="G297" s="43">
        <v>1849050100</v>
      </c>
      <c r="H297" s="43">
        <v>71</v>
      </c>
      <c r="I297" s="43">
        <v>32002700</v>
      </c>
      <c r="J297" s="43">
        <v>216</v>
      </c>
      <c r="K297" s="43">
        <v>2220612</v>
      </c>
      <c r="L297" s="43">
        <v>183</v>
      </c>
      <c r="M297" s="43">
        <v>629595000</v>
      </c>
      <c r="N297" s="43">
        <v>164</v>
      </c>
      <c r="O297" s="43">
        <v>277549000</v>
      </c>
      <c r="P297" s="43">
        <v>18</v>
      </c>
      <c r="Q297" s="43">
        <v>342196500</v>
      </c>
      <c r="R297" s="43">
        <v>1</v>
      </c>
      <c r="S297" s="43">
        <v>9849500</v>
      </c>
      <c r="T297" s="44">
        <f t="shared" si="24"/>
        <v>5591</v>
      </c>
      <c r="U297" s="44">
        <f t="shared" si="24"/>
        <v>2628168712</v>
      </c>
      <c r="V297" s="45">
        <f t="shared" si="25"/>
        <v>0.71572756779702507</v>
      </c>
      <c r="W297" s="44">
        <f t="shared" si="26"/>
        <v>4641</v>
      </c>
      <c r="X297" s="44">
        <f t="shared" si="27"/>
        <v>1890902300</v>
      </c>
      <c r="Y297" s="43">
        <f t="shared" si="28"/>
        <v>405311.95862960571</v>
      </c>
      <c r="Z297" s="45">
        <f t="shared" si="29"/>
        <v>3.7476665615217169E-3</v>
      </c>
    </row>
    <row r="298" spans="1:26">
      <c r="A298" s="42" t="s">
        <v>661</v>
      </c>
      <c r="B298" s="42" t="s">
        <v>662</v>
      </c>
      <c r="C298" s="42" t="s">
        <v>17</v>
      </c>
      <c r="D298" s="43">
        <v>549</v>
      </c>
      <c r="E298" s="43">
        <v>79902710</v>
      </c>
      <c r="F298" s="43">
        <v>7773</v>
      </c>
      <c r="G298" s="43">
        <v>4329353700</v>
      </c>
      <c r="H298" s="43">
        <v>32</v>
      </c>
      <c r="I298" s="43">
        <v>31816800</v>
      </c>
      <c r="J298" s="43">
        <v>98</v>
      </c>
      <c r="K298" s="43">
        <v>1683349</v>
      </c>
      <c r="L298" s="43">
        <v>268</v>
      </c>
      <c r="M298" s="43">
        <v>1780479094</v>
      </c>
      <c r="N298" s="43">
        <v>253</v>
      </c>
      <c r="O298" s="43">
        <v>1551438394</v>
      </c>
      <c r="P298" s="43">
        <v>10</v>
      </c>
      <c r="Q298" s="43">
        <v>77666900</v>
      </c>
      <c r="R298" s="43">
        <v>5</v>
      </c>
      <c r="S298" s="43">
        <v>151373800</v>
      </c>
      <c r="T298" s="44">
        <f t="shared" si="24"/>
        <v>8720</v>
      </c>
      <c r="U298" s="44">
        <f t="shared" si="24"/>
        <v>6223235653</v>
      </c>
      <c r="V298" s="45">
        <f t="shared" si="25"/>
        <v>0.70078826243670123</v>
      </c>
      <c r="W298" s="44">
        <f t="shared" si="26"/>
        <v>7805</v>
      </c>
      <c r="X298" s="44">
        <f t="shared" si="27"/>
        <v>4512544300</v>
      </c>
      <c r="Y298" s="43">
        <f t="shared" si="28"/>
        <v>558766.23959000641</v>
      </c>
      <c r="Z298" s="45">
        <f t="shared" si="29"/>
        <v>2.4323970429599287E-2</v>
      </c>
    </row>
    <row r="299" spans="1:26">
      <c r="A299" s="42" t="s">
        <v>663</v>
      </c>
      <c r="B299" s="42" t="s">
        <v>664</v>
      </c>
      <c r="C299" s="42" t="s">
        <v>18</v>
      </c>
      <c r="D299" s="43">
        <v>293</v>
      </c>
      <c r="E299" s="43">
        <v>25150284</v>
      </c>
      <c r="F299" s="43">
        <v>5086</v>
      </c>
      <c r="G299" s="43">
        <v>610980074</v>
      </c>
      <c r="H299" s="43"/>
      <c r="I299" s="43"/>
      <c r="J299" s="43"/>
      <c r="K299" s="43"/>
      <c r="L299" s="43">
        <v>261</v>
      </c>
      <c r="M299" s="43">
        <v>360939700</v>
      </c>
      <c r="N299" s="43">
        <v>160</v>
      </c>
      <c r="O299" s="43">
        <v>94168400</v>
      </c>
      <c r="P299" s="43">
        <v>85</v>
      </c>
      <c r="Q299" s="43">
        <v>243790100</v>
      </c>
      <c r="R299" s="43">
        <v>16</v>
      </c>
      <c r="S299" s="43">
        <v>22981200</v>
      </c>
      <c r="T299" s="44">
        <f t="shared" si="24"/>
        <v>5640</v>
      </c>
      <c r="U299" s="44">
        <f t="shared" si="24"/>
        <v>997070058</v>
      </c>
      <c r="V299" s="45">
        <f t="shared" si="25"/>
        <v>0.61277547058784509</v>
      </c>
      <c r="W299" s="44">
        <f t="shared" si="26"/>
        <v>5086</v>
      </c>
      <c r="X299" s="44">
        <f t="shared" si="27"/>
        <v>633961274</v>
      </c>
      <c r="Y299" s="43">
        <f t="shared" si="28"/>
        <v>120129.78254030673</v>
      </c>
      <c r="Z299" s="45">
        <f t="shared" si="29"/>
        <v>2.3048731446311269E-2</v>
      </c>
    </row>
    <row r="300" spans="1:26">
      <c r="A300" s="42" t="s">
        <v>665</v>
      </c>
      <c r="B300" s="42" t="s">
        <v>666</v>
      </c>
      <c r="C300" s="42" t="s">
        <v>18</v>
      </c>
      <c r="D300" s="43">
        <v>68</v>
      </c>
      <c r="E300" s="43">
        <v>15432100</v>
      </c>
      <c r="F300" s="43">
        <v>1160</v>
      </c>
      <c r="G300" s="43">
        <v>775832000</v>
      </c>
      <c r="H300" s="43">
        <v>51</v>
      </c>
      <c r="I300" s="43">
        <v>34174400</v>
      </c>
      <c r="J300" s="43">
        <v>100</v>
      </c>
      <c r="K300" s="43">
        <v>2956000</v>
      </c>
      <c r="L300" s="43">
        <v>140</v>
      </c>
      <c r="M300" s="43">
        <v>1020110300</v>
      </c>
      <c r="N300" s="43">
        <v>98</v>
      </c>
      <c r="O300" s="43">
        <v>253948400</v>
      </c>
      <c r="P300" s="43">
        <v>41</v>
      </c>
      <c r="Q300" s="43">
        <v>765257900</v>
      </c>
      <c r="R300" s="43">
        <v>1</v>
      </c>
      <c r="S300" s="43">
        <v>904000</v>
      </c>
      <c r="T300" s="44">
        <f t="shared" si="24"/>
        <v>1519</v>
      </c>
      <c r="U300" s="44">
        <f t="shared" si="24"/>
        <v>1848504800</v>
      </c>
      <c r="V300" s="45">
        <f t="shared" si="25"/>
        <v>0.43819545396906734</v>
      </c>
      <c r="W300" s="44">
        <f t="shared" si="26"/>
        <v>1211</v>
      </c>
      <c r="X300" s="44">
        <f t="shared" si="27"/>
        <v>810910400</v>
      </c>
      <c r="Y300" s="43">
        <f t="shared" si="28"/>
        <v>668873.98843930638</v>
      </c>
      <c r="Z300" s="45">
        <f t="shared" si="29"/>
        <v>4.8904390186057405E-4</v>
      </c>
    </row>
    <row r="301" spans="1:26">
      <c r="A301" s="42" t="s">
        <v>667</v>
      </c>
      <c r="B301" s="42" t="s">
        <v>668</v>
      </c>
      <c r="C301" s="42" t="s">
        <v>18</v>
      </c>
      <c r="D301" s="43">
        <v>38</v>
      </c>
      <c r="E301" s="43">
        <v>629700</v>
      </c>
      <c r="F301" s="43">
        <v>1932</v>
      </c>
      <c r="G301" s="43">
        <v>124392350</v>
      </c>
      <c r="H301" s="43"/>
      <c r="I301" s="43"/>
      <c r="J301" s="43"/>
      <c r="K301" s="43"/>
      <c r="L301" s="43">
        <v>109</v>
      </c>
      <c r="M301" s="43">
        <v>18450000</v>
      </c>
      <c r="N301" s="43">
        <v>95</v>
      </c>
      <c r="O301" s="43">
        <v>13451500</v>
      </c>
      <c r="P301" s="43">
        <v>6</v>
      </c>
      <c r="Q301" s="43">
        <v>3374700</v>
      </c>
      <c r="R301" s="43">
        <v>8</v>
      </c>
      <c r="S301" s="43">
        <v>1623800</v>
      </c>
      <c r="T301" s="44">
        <f t="shared" si="24"/>
        <v>2079</v>
      </c>
      <c r="U301" s="44">
        <f t="shared" si="24"/>
        <v>143472050</v>
      </c>
      <c r="V301" s="45">
        <f t="shared" si="25"/>
        <v>0.8670145160677637</v>
      </c>
      <c r="W301" s="44">
        <f t="shared" si="26"/>
        <v>1932</v>
      </c>
      <c r="X301" s="44">
        <f t="shared" si="27"/>
        <v>126016150</v>
      </c>
      <c r="Y301" s="43">
        <f t="shared" si="28"/>
        <v>64385.274327122155</v>
      </c>
      <c r="Z301" s="45">
        <f t="shared" si="29"/>
        <v>1.1317883866578891E-2</v>
      </c>
    </row>
    <row r="302" spans="1:26">
      <c r="A302" s="42" t="s">
        <v>669</v>
      </c>
      <c r="B302" s="42" t="s">
        <v>670</v>
      </c>
      <c r="C302" s="42" t="s">
        <v>18</v>
      </c>
      <c r="D302" s="43">
        <v>642</v>
      </c>
      <c r="E302" s="43">
        <v>17546800</v>
      </c>
      <c r="F302" s="43">
        <v>15470</v>
      </c>
      <c r="G302" s="43">
        <v>1525964300</v>
      </c>
      <c r="H302" s="43">
        <v>22</v>
      </c>
      <c r="I302" s="43">
        <v>2752900</v>
      </c>
      <c r="J302" s="43">
        <v>49</v>
      </c>
      <c r="K302" s="43">
        <v>259900</v>
      </c>
      <c r="L302" s="43">
        <v>737</v>
      </c>
      <c r="M302" s="43">
        <v>471227700</v>
      </c>
      <c r="N302" s="43">
        <v>616</v>
      </c>
      <c r="O302" s="43">
        <v>342894700</v>
      </c>
      <c r="P302" s="43">
        <v>108</v>
      </c>
      <c r="Q302" s="43">
        <v>95344300</v>
      </c>
      <c r="R302" s="43">
        <v>13</v>
      </c>
      <c r="S302" s="43">
        <v>32988700</v>
      </c>
      <c r="T302" s="44">
        <f t="shared" si="24"/>
        <v>16920</v>
      </c>
      <c r="U302" s="44">
        <f t="shared" si="24"/>
        <v>2017751600</v>
      </c>
      <c r="V302" s="45">
        <f t="shared" si="25"/>
        <v>0.7576339922119254</v>
      </c>
      <c r="W302" s="44">
        <f t="shared" si="26"/>
        <v>15492</v>
      </c>
      <c r="X302" s="44">
        <f t="shared" si="27"/>
        <v>1561705900</v>
      </c>
      <c r="Y302" s="43">
        <f t="shared" si="28"/>
        <v>98677.84663051898</v>
      </c>
      <c r="Z302" s="45">
        <f t="shared" si="29"/>
        <v>1.6349237438344738E-2</v>
      </c>
    </row>
    <row r="303" spans="1:26">
      <c r="A303" s="42" t="s">
        <v>671</v>
      </c>
      <c r="B303" s="42" t="s">
        <v>672</v>
      </c>
      <c r="C303" s="42" t="s">
        <v>18</v>
      </c>
      <c r="D303" s="43">
        <v>1381</v>
      </c>
      <c r="E303" s="43">
        <v>168454100</v>
      </c>
      <c r="F303" s="43">
        <v>24921</v>
      </c>
      <c r="G303" s="43">
        <v>4359806200</v>
      </c>
      <c r="H303" s="43"/>
      <c r="I303" s="43"/>
      <c r="J303" s="43">
        <v>6</v>
      </c>
      <c r="K303" s="43">
        <v>14600</v>
      </c>
      <c r="L303" s="43">
        <v>1252</v>
      </c>
      <c r="M303" s="43">
        <v>2830330100</v>
      </c>
      <c r="N303" s="43">
        <v>869</v>
      </c>
      <c r="O303" s="43">
        <v>1113955400</v>
      </c>
      <c r="P303" s="43">
        <v>309</v>
      </c>
      <c r="Q303" s="43">
        <v>1259429800</v>
      </c>
      <c r="R303" s="43">
        <v>74</v>
      </c>
      <c r="S303" s="43">
        <v>456944900</v>
      </c>
      <c r="T303" s="44">
        <f t="shared" si="24"/>
        <v>27560</v>
      </c>
      <c r="U303" s="44">
        <f t="shared" si="24"/>
        <v>7358605000</v>
      </c>
      <c r="V303" s="45">
        <f t="shared" si="25"/>
        <v>0.59247726980861182</v>
      </c>
      <c r="W303" s="44">
        <f t="shared" si="26"/>
        <v>24921</v>
      </c>
      <c r="X303" s="44">
        <f t="shared" si="27"/>
        <v>4816751100</v>
      </c>
      <c r="Y303" s="43">
        <f t="shared" si="28"/>
        <v>174945.07443521527</v>
      </c>
      <c r="Z303" s="45">
        <f t="shared" si="29"/>
        <v>6.2096674573509515E-2</v>
      </c>
    </row>
    <row r="304" spans="1:26">
      <c r="A304" s="42" t="s">
        <v>673</v>
      </c>
      <c r="B304" s="42" t="s">
        <v>674</v>
      </c>
      <c r="C304" s="42" t="s">
        <v>18</v>
      </c>
      <c r="D304" s="43">
        <v>42</v>
      </c>
      <c r="E304" s="43">
        <v>2387500</v>
      </c>
      <c r="F304" s="43">
        <v>868</v>
      </c>
      <c r="G304" s="43">
        <v>237122000</v>
      </c>
      <c r="H304" s="43"/>
      <c r="I304" s="43"/>
      <c r="J304" s="43"/>
      <c r="K304" s="43"/>
      <c r="L304" s="43">
        <v>17</v>
      </c>
      <c r="M304" s="43">
        <v>9720800</v>
      </c>
      <c r="N304" s="43">
        <v>12</v>
      </c>
      <c r="O304" s="43">
        <v>6167700</v>
      </c>
      <c r="P304" s="43">
        <v>5</v>
      </c>
      <c r="Q304" s="43">
        <v>3553100</v>
      </c>
      <c r="R304" s="43"/>
      <c r="S304" s="43"/>
      <c r="T304" s="44">
        <f t="shared" si="24"/>
        <v>927</v>
      </c>
      <c r="U304" s="44">
        <f t="shared" si="24"/>
        <v>249230300</v>
      </c>
      <c r="V304" s="45">
        <f t="shared" si="25"/>
        <v>0.95141722334724144</v>
      </c>
      <c r="W304" s="44">
        <f t="shared" si="26"/>
        <v>868</v>
      </c>
      <c r="X304" s="44">
        <f t="shared" si="27"/>
        <v>237122000</v>
      </c>
      <c r="Y304" s="43">
        <f t="shared" si="28"/>
        <v>273182.02764976956</v>
      </c>
      <c r="Z304" s="45">
        <f t="shared" si="29"/>
        <v>0</v>
      </c>
    </row>
    <row r="305" spans="1:26">
      <c r="A305" s="42" t="s">
        <v>675</v>
      </c>
      <c r="B305" s="42" t="s">
        <v>676</v>
      </c>
      <c r="C305" s="42" t="s">
        <v>18</v>
      </c>
      <c r="D305" s="43">
        <v>78</v>
      </c>
      <c r="E305" s="43">
        <v>3412100</v>
      </c>
      <c r="F305" s="43">
        <v>2845</v>
      </c>
      <c r="G305" s="43">
        <v>394142800</v>
      </c>
      <c r="H305" s="43"/>
      <c r="I305" s="43"/>
      <c r="J305" s="43"/>
      <c r="K305" s="43"/>
      <c r="L305" s="43">
        <v>291</v>
      </c>
      <c r="M305" s="43">
        <v>133676300</v>
      </c>
      <c r="N305" s="43">
        <v>192</v>
      </c>
      <c r="O305" s="43">
        <v>48518800</v>
      </c>
      <c r="P305" s="43">
        <v>11</v>
      </c>
      <c r="Q305" s="43">
        <v>5044900</v>
      </c>
      <c r="R305" s="43">
        <v>88</v>
      </c>
      <c r="S305" s="43">
        <v>80112600</v>
      </c>
      <c r="T305" s="44">
        <f t="shared" si="24"/>
        <v>3214</v>
      </c>
      <c r="U305" s="44">
        <f t="shared" si="24"/>
        <v>531231200</v>
      </c>
      <c r="V305" s="45">
        <f t="shared" si="25"/>
        <v>0.74194211484566419</v>
      </c>
      <c r="W305" s="44">
        <f t="shared" si="26"/>
        <v>2845</v>
      </c>
      <c r="X305" s="44">
        <f t="shared" si="27"/>
        <v>474255400</v>
      </c>
      <c r="Y305" s="43">
        <f t="shared" si="28"/>
        <v>138538.76977152901</v>
      </c>
      <c r="Z305" s="45">
        <f t="shared" si="29"/>
        <v>0.15080552497669564</v>
      </c>
    </row>
    <row r="306" spans="1:26">
      <c r="A306" s="42" t="s">
        <v>677</v>
      </c>
      <c r="B306" s="42" t="s">
        <v>678</v>
      </c>
      <c r="C306" s="42" t="s">
        <v>18</v>
      </c>
      <c r="D306" s="43">
        <v>115</v>
      </c>
      <c r="E306" s="43">
        <v>3985600</v>
      </c>
      <c r="F306" s="43">
        <v>1564</v>
      </c>
      <c r="G306" s="43">
        <v>193928600</v>
      </c>
      <c r="H306" s="43"/>
      <c r="I306" s="43"/>
      <c r="J306" s="43"/>
      <c r="K306" s="43"/>
      <c r="L306" s="43">
        <v>117</v>
      </c>
      <c r="M306" s="43">
        <v>41426100</v>
      </c>
      <c r="N306" s="43">
        <v>102</v>
      </c>
      <c r="O306" s="43">
        <v>32211000</v>
      </c>
      <c r="P306" s="43">
        <v>1</v>
      </c>
      <c r="Q306" s="43">
        <v>925000</v>
      </c>
      <c r="R306" s="43">
        <v>14</v>
      </c>
      <c r="S306" s="43">
        <v>8290100</v>
      </c>
      <c r="T306" s="44">
        <f t="shared" si="24"/>
        <v>1796</v>
      </c>
      <c r="U306" s="44">
        <f t="shared" si="24"/>
        <v>239340300</v>
      </c>
      <c r="V306" s="45">
        <f t="shared" si="25"/>
        <v>0.81026304387518522</v>
      </c>
      <c r="W306" s="44">
        <f t="shared" si="26"/>
        <v>1564</v>
      </c>
      <c r="X306" s="44">
        <f t="shared" si="27"/>
        <v>202218700</v>
      </c>
      <c r="Y306" s="43">
        <f t="shared" si="28"/>
        <v>123995.26854219948</v>
      </c>
      <c r="Z306" s="45">
        <f t="shared" si="29"/>
        <v>3.4637292591343787E-2</v>
      </c>
    </row>
    <row r="307" spans="1:26">
      <c r="A307" s="42" t="s">
        <v>679</v>
      </c>
      <c r="B307" s="42" t="s">
        <v>680</v>
      </c>
      <c r="C307" s="42" t="s">
        <v>18</v>
      </c>
      <c r="D307" s="43">
        <v>1025</v>
      </c>
      <c r="E307" s="43">
        <v>66363800</v>
      </c>
      <c r="F307" s="43">
        <v>18026</v>
      </c>
      <c r="G307" s="43">
        <v>2741268300</v>
      </c>
      <c r="H307" s="43">
        <v>36</v>
      </c>
      <c r="I307" s="43">
        <v>6044400</v>
      </c>
      <c r="J307" s="43">
        <v>131</v>
      </c>
      <c r="K307" s="43">
        <v>4178000</v>
      </c>
      <c r="L307" s="43">
        <v>541</v>
      </c>
      <c r="M307" s="43">
        <v>553283700</v>
      </c>
      <c r="N307" s="43">
        <v>458</v>
      </c>
      <c r="O307" s="43">
        <v>334211800</v>
      </c>
      <c r="P307" s="43">
        <v>58</v>
      </c>
      <c r="Q307" s="43">
        <v>50693700</v>
      </c>
      <c r="R307" s="43">
        <v>25</v>
      </c>
      <c r="S307" s="43">
        <v>168378200</v>
      </c>
      <c r="T307" s="44">
        <f t="shared" si="24"/>
        <v>19759</v>
      </c>
      <c r="U307" s="44">
        <f t="shared" si="24"/>
        <v>3371138200</v>
      </c>
      <c r="V307" s="45">
        <f t="shared" si="25"/>
        <v>0.81495107498114439</v>
      </c>
      <c r="W307" s="44">
        <f t="shared" si="26"/>
        <v>18062</v>
      </c>
      <c r="X307" s="44">
        <f t="shared" si="27"/>
        <v>2915690900</v>
      </c>
      <c r="Y307" s="43">
        <f t="shared" si="28"/>
        <v>152104.56760048721</v>
      </c>
      <c r="Z307" s="45">
        <f t="shared" si="29"/>
        <v>4.9946988230859239E-2</v>
      </c>
    </row>
    <row r="308" spans="1:26">
      <c r="A308" s="42" t="s">
        <v>681</v>
      </c>
      <c r="B308" s="42" t="s">
        <v>682</v>
      </c>
      <c r="C308" s="42" t="s">
        <v>18</v>
      </c>
      <c r="D308" s="43">
        <v>104</v>
      </c>
      <c r="E308" s="43">
        <v>7471400</v>
      </c>
      <c r="F308" s="43">
        <v>4579</v>
      </c>
      <c r="G308" s="43">
        <v>791612800</v>
      </c>
      <c r="H308" s="43"/>
      <c r="I308" s="43"/>
      <c r="J308" s="43"/>
      <c r="K308" s="43"/>
      <c r="L308" s="43">
        <v>438</v>
      </c>
      <c r="M308" s="43">
        <v>168416800</v>
      </c>
      <c r="N308" s="43">
        <v>358</v>
      </c>
      <c r="O308" s="43">
        <v>113083100</v>
      </c>
      <c r="P308" s="43">
        <v>62</v>
      </c>
      <c r="Q308" s="43">
        <v>37991600</v>
      </c>
      <c r="R308" s="43">
        <v>18</v>
      </c>
      <c r="S308" s="43">
        <v>17342100</v>
      </c>
      <c r="T308" s="44">
        <f t="shared" si="24"/>
        <v>5121</v>
      </c>
      <c r="U308" s="44">
        <f t="shared" si="24"/>
        <v>967501000</v>
      </c>
      <c r="V308" s="45">
        <f t="shared" si="25"/>
        <v>0.81820359875597026</v>
      </c>
      <c r="W308" s="44">
        <f t="shared" si="26"/>
        <v>4579</v>
      </c>
      <c r="X308" s="44">
        <f t="shared" si="27"/>
        <v>808954900</v>
      </c>
      <c r="Y308" s="43">
        <f t="shared" si="28"/>
        <v>172878.96920725048</v>
      </c>
      <c r="Z308" s="45">
        <f t="shared" si="29"/>
        <v>1.792463263603862E-2</v>
      </c>
    </row>
    <row r="309" spans="1:26">
      <c r="A309" s="42" t="s">
        <v>683</v>
      </c>
      <c r="B309" s="42" t="s">
        <v>684</v>
      </c>
      <c r="C309" s="42" t="s">
        <v>18</v>
      </c>
      <c r="D309" s="43">
        <v>173</v>
      </c>
      <c r="E309" s="43">
        <v>5059300</v>
      </c>
      <c r="F309" s="43">
        <v>4179</v>
      </c>
      <c r="G309" s="43">
        <v>386848000</v>
      </c>
      <c r="H309" s="43"/>
      <c r="I309" s="43"/>
      <c r="J309" s="43"/>
      <c r="K309" s="43"/>
      <c r="L309" s="43">
        <v>354</v>
      </c>
      <c r="M309" s="43">
        <v>106809000</v>
      </c>
      <c r="N309" s="43">
        <v>201</v>
      </c>
      <c r="O309" s="43">
        <v>35778400</v>
      </c>
      <c r="P309" s="43">
        <v>148</v>
      </c>
      <c r="Q309" s="43">
        <v>61185600</v>
      </c>
      <c r="R309" s="43">
        <v>5</v>
      </c>
      <c r="S309" s="43">
        <v>9845000</v>
      </c>
      <c r="T309" s="44">
        <f t="shared" si="24"/>
        <v>4706</v>
      </c>
      <c r="U309" s="44">
        <f t="shared" si="24"/>
        <v>498716300</v>
      </c>
      <c r="V309" s="45">
        <f t="shared" si="25"/>
        <v>0.77568750008772525</v>
      </c>
      <c r="W309" s="44">
        <f t="shared" si="26"/>
        <v>4179</v>
      </c>
      <c r="X309" s="44">
        <f t="shared" si="27"/>
        <v>396693000</v>
      </c>
      <c r="Y309" s="43">
        <f t="shared" si="28"/>
        <v>92569.514237855939</v>
      </c>
      <c r="Z309" s="45">
        <f t="shared" si="29"/>
        <v>1.9740682227551015E-2</v>
      </c>
    </row>
    <row r="310" spans="1:26">
      <c r="A310" s="42" t="s">
        <v>685</v>
      </c>
      <c r="B310" s="42" t="s">
        <v>686</v>
      </c>
      <c r="C310" s="42" t="s">
        <v>18</v>
      </c>
      <c r="D310" s="43">
        <v>54</v>
      </c>
      <c r="E310" s="43">
        <v>5353100</v>
      </c>
      <c r="F310" s="43">
        <v>2387</v>
      </c>
      <c r="G310" s="43">
        <v>396690000</v>
      </c>
      <c r="H310" s="43"/>
      <c r="I310" s="43"/>
      <c r="J310" s="43"/>
      <c r="K310" s="43"/>
      <c r="L310" s="43">
        <v>106</v>
      </c>
      <c r="M310" s="43">
        <v>65147800</v>
      </c>
      <c r="N310" s="43">
        <v>96</v>
      </c>
      <c r="O310" s="43">
        <v>54325400</v>
      </c>
      <c r="P310" s="43">
        <v>5</v>
      </c>
      <c r="Q310" s="43">
        <v>8927400</v>
      </c>
      <c r="R310" s="43">
        <v>5</v>
      </c>
      <c r="S310" s="43">
        <v>1895000</v>
      </c>
      <c r="T310" s="44">
        <f t="shared" si="24"/>
        <v>2547</v>
      </c>
      <c r="U310" s="44">
        <f t="shared" si="24"/>
        <v>467190900</v>
      </c>
      <c r="V310" s="45">
        <f t="shared" si="25"/>
        <v>0.84909616176171243</v>
      </c>
      <c r="W310" s="44">
        <f t="shared" si="26"/>
        <v>2387</v>
      </c>
      <c r="X310" s="44">
        <f t="shared" si="27"/>
        <v>398585000</v>
      </c>
      <c r="Y310" s="43">
        <f t="shared" si="28"/>
        <v>166187.68328445748</v>
      </c>
      <c r="Z310" s="45">
        <f t="shared" si="29"/>
        <v>4.0561577719086563E-3</v>
      </c>
    </row>
    <row r="311" spans="1:26">
      <c r="A311" s="42" t="s">
        <v>687</v>
      </c>
      <c r="B311" s="42" t="s">
        <v>539</v>
      </c>
      <c r="C311" s="42" t="s">
        <v>18</v>
      </c>
      <c r="D311" s="43">
        <v>2460</v>
      </c>
      <c r="E311" s="43">
        <v>152463100</v>
      </c>
      <c r="F311" s="43">
        <v>16748</v>
      </c>
      <c r="G311" s="43">
        <v>2913669300</v>
      </c>
      <c r="H311" s="43">
        <v>156</v>
      </c>
      <c r="I311" s="43">
        <v>31458000</v>
      </c>
      <c r="J311" s="43">
        <v>365</v>
      </c>
      <c r="K311" s="43">
        <v>3746300</v>
      </c>
      <c r="L311" s="43">
        <v>238</v>
      </c>
      <c r="M311" s="43">
        <v>503499800</v>
      </c>
      <c r="N311" s="43">
        <v>189</v>
      </c>
      <c r="O311" s="43">
        <v>276162300</v>
      </c>
      <c r="P311" s="43">
        <v>46</v>
      </c>
      <c r="Q311" s="43">
        <v>198178200</v>
      </c>
      <c r="R311" s="43">
        <v>3</v>
      </c>
      <c r="S311" s="43">
        <v>29159300</v>
      </c>
      <c r="T311" s="44">
        <f t="shared" si="24"/>
        <v>19967</v>
      </c>
      <c r="U311" s="44">
        <f t="shared" si="24"/>
        <v>3604836500</v>
      </c>
      <c r="V311" s="45">
        <f t="shared" si="25"/>
        <v>0.8169933088504846</v>
      </c>
      <c r="W311" s="44">
        <f t="shared" si="26"/>
        <v>16904</v>
      </c>
      <c r="X311" s="44">
        <f t="shared" si="27"/>
        <v>2974286600</v>
      </c>
      <c r="Y311" s="43">
        <f t="shared" si="28"/>
        <v>174226.6504969238</v>
      </c>
      <c r="Z311" s="45">
        <f t="shared" si="29"/>
        <v>8.08893829165345E-3</v>
      </c>
    </row>
    <row r="312" spans="1:26">
      <c r="A312" s="42" t="s">
        <v>688</v>
      </c>
      <c r="B312" s="42" t="s">
        <v>689</v>
      </c>
      <c r="C312" s="42" t="s">
        <v>18</v>
      </c>
      <c r="D312" s="43">
        <v>887</v>
      </c>
      <c r="E312" s="43">
        <v>15733500</v>
      </c>
      <c r="F312" s="43">
        <v>5412</v>
      </c>
      <c r="G312" s="43">
        <v>626332900</v>
      </c>
      <c r="H312" s="43"/>
      <c r="I312" s="43"/>
      <c r="J312" s="43"/>
      <c r="K312" s="43"/>
      <c r="L312" s="43">
        <v>914</v>
      </c>
      <c r="M312" s="43">
        <v>637146600</v>
      </c>
      <c r="N312" s="43">
        <v>643</v>
      </c>
      <c r="O312" s="43">
        <v>357479000</v>
      </c>
      <c r="P312" s="43">
        <v>98</v>
      </c>
      <c r="Q312" s="43">
        <v>145409700</v>
      </c>
      <c r="R312" s="43">
        <v>173</v>
      </c>
      <c r="S312" s="43">
        <v>134257900</v>
      </c>
      <c r="T312" s="44">
        <f t="shared" si="24"/>
        <v>7213</v>
      </c>
      <c r="U312" s="44">
        <f t="shared" si="24"/>
        <v>1279213000</v>
      </c>
      <c r="V312" s="45">
        <f t="shared" si="25"/>
        <v>0.48962362014770017</v>
      </c>
      <c r="W312" s="44">
        <f t="shared" si="26"/>
        <v>5412</v>
      </c>
      <c r="X312" s="44">
        <f t="shared" si="27"/>
        <v>760590800</v>
      </c>
      <c r="Y312" s="43">
        <f t="shared" si="28"/>
        <v>115730.39541759054</v>
      </c>
      <c r="Z312" s="45">
        <f t="shared" si="29"/>
        <v>0.1049535143873616</v>
      </c>
    </row>
    <row r="313" spans="1:26">
      <c r="A313" s="42" t="s">
        <v>690</v>
      </c>
      <c r="B313" s="42" t="s">
        <v>691</v>
      </c>
      <c r="C313" s="42" t="s">
        <v>18</v>
      </c>
      <c r="D313" s="43">
        <v>926</v>
      </c>
      <c r="E313" s="43">
        <v>53099800</v>
      </c>
      <c r="F313" s="43">
        <v>9630</v>
      </c>
      <c r="G313" s="43">
        <v>1519488800</v>
      </c>
      <c r="H313" s="43">
        <v>7</v>
      </c>
      <c r="I313" s="43">
        <v>1450100</v>
      </c>
      <c r="J313" s="43">
        <v>17</v>
      </c>
      <c r="K313" s="43">
        <v>171700</v>
      </c>
      <c r="L313" s="43">
        <v>468</v>
      </c>
      <c r="M313" s="43">
        <v>939077000</v>
      </c>
      <c r="N313" s="43">
        <v>375</v>
      </c>
      <c r="O313" s="43">
        <v>384945700</v>
      </c>
      <c r="P313" s="43">
        <v>57</v>
      </c>
      <c r="Q313" s="43">
        <v>342852800</v>
      </c>
      <c r="R313" s="43">
        <v>36</v>
      </c>
      <c r="S313" s="43">
        <v>211278500</v>
      </c>
      <c r="T313" s="44">
        <f t="shared" si="24"/>
        <v>11048</v>
      </c>
      <c r="U313" s="44">
        <f t="shared" si="24"/>
        <v>2513287400</v>
      </c>
      <c r="V313" s="45">
        <f t="shared" si="25"/>
        <v>0.60515916325367325</v>
      </c>
      <c r="W313" s="44">
        <f t="shared" si="26"/>
        <v>9637</v>
      </c>
      <c r="X313" s="44">
        <f t="shared" si="27"/>
        <v>1732217400</v>
      </c>
      <c r="Y313" s="43">
        <f t="shared" si="28"/>
        <v>157822.85981114456</v>
      </c>
      <c r="Z313" s="45">
        <f t="shared" si="29"/>
        <v>8.4064600013512181E-2</v>
      </c>
    </row>
    <row r="314" spans="1:26">
      <c r="A314" s="42" t="s">
        <v>692</v>
      </c>
      <c r="B314" s="42" t="s">
        <v>693</v>
      </c>
      <c r="C314" s="42" t="s">
        <v>18</v>
      </c>
      <c r="D314" s="43">
        <v>393</v>
      </c>
      <c r="E314" s="43">
        <v>125408300</v>
      </c>
      <c r="F314" s="43">
        <v>7531</v>
      </c>
      <c r="G314" s="43">
        <v>2111910000</v>
      </c>
      <c r="H314" s="43"/>
      <c r="I314" s="43"/>
      <c r="J314" s="43"/>
      <c r="K314" s="43"/>
      <c r="L314" s="43">
        <v>1174</v>
      </c>
      <c r="M314" s="43">
        <v>1364158700</v>
      </c>
      <c r="N314" s="43">
        <v>885</v>
      </c>
      <c r="O314" s="43">
        <v>521939300</v>
      </c>
      <c r="P314" s="43">
        <v>123</v>
      </c>
      <c r="Q314" s="43">
        <v>559878100</v>
      </c>
      <c r="R314" s="43">
        <v>166</v>
      </c>
      <c r="S314" s="43">
        <v>282341300</v>
      </c>
      <c r="T314" s="44">
        <f t="shared" si="24"/>
        <v>9098</v>
      </c>
      <c r="U314" s="44">
        <f t="shared" si="24"/>
        <v>3601477000</v>
      </c>
      <c r="V314" s="45">
        <f t="shared" si="25"/>
        <v>0.58640107933495067</v>
      </c>
      <c r="W314" s="44">
        <f t="shared" si="26"/>
        <v>7531</v>
      </c>
      <c r="X314" s="44">
        <f t="shared" si="27"/>
        <v>2394251300</v>
      </c>
      <c r="Y314" s="43">
        <f t="shared" si="28"/>
        <v>280428.89390519186</v>
      </c>
      <c r="Z314" s="45">
        <f t="shared" si="29"/>
        <v>7.8395974762576578E-2</v>
      </c>
    </row>
    <row r="315" spans="1:26">
      <c r="A315" s="42" t="s">
        <v>694</v>
      </c>
      <c r="B315" s="42" t="s">
        <v>695</v>
      </c>
      <c r="C315" s="42" t="s">
        <v>18</v>
      </c>
      <c r="D315" s="43">
        <v>422</v>
      </c>
      <c r="E315" s="43">
        <v>31227300</v>
      </c>
      <c r="F315" s="43">
        <v>13008</v>
      </c>
      <c r="G315" s="43">
        <v>1441450200</v>
      </c>
      <c r="H315" s="43">
        <v>14</v>
      </c>
      <c r="I315" s="43">
        <v>3575200</v>
      </c>
      <c r="J315" s="43">
        <v>14</v>
      </c>
      <c r="K315" s="43">
        <v>202600</v>
      </c>
      <c r="L315" s="43">
        <v>440</v>
      </c>
      <c r="M315" s="43">
        <v>750272600</v>
      </c>
      <c r="N315" s="43">
        <v>224</v>
      </c>
      <c r="O315" s="43">
        <v>165284100</v>
      </c>
      <c r="P315" s="43">
        <v>196</v>
      </c>
      <c r="Q315" s="43">
        <v>488495900</v>
      </c>
      <c r="R315" s="43">
        <v>20</v>
      </c>
      <c r="S315" s="43">
        <v>96492600</v>
      </c>
      <c r="T315" s="44">
        <f t="shared" si="24"/>
        <v>13898</v>
      </c>
      <c r="U315" s="44">
        <f t="shared" si="24"/>
        <v>2226727900</v>
      </c>
      <c r="V315" s="45">
        <f t="shared" si="25"/>
        <v>0.64894565698844475</v>
      </c>
      <c r="W315" s="44">
        <f t="shared" si="26"/>
        <v>13022</v>
      </c>
      <c r="X315" s="44">
        <f t="shared" si="27"/>
        <v>1541518000</v>
      </c>
      <c r="Y315" s="43">
        <f t="shared" si="28"/>
        <v>110968.00798648442</v>
      </c>
      <c r="Z315" s="45">
        <f t="shared" si="29"/>
        <v>4.3333808320271193E-2</v>
      </c>
    </row>
    <row r="316" spans="1:26">
      <c r="A316" s="42" t="s">
        <v>696</v>
      </c>
      <c r="B316" s="42" t="s">
        <v>697</v>
      </c>
      <c r="C316" s="42" t="s">
        <v>18</v>
      </c>
      <c r="D316" s="43">
        <v>385</v>
      </c>
      <c r="E316" s="43">
        <v>51891900</v>
      </c>
      <c r="F316" s="43">
        <v>5260</v>
      </c>
      <c r="G316" s="43">
        <v>2088361900</v>
      </c>
      <c r="H316" s="43">
        <v>18</v>
      </c>
      <c r="I316" s="43">
        <v>10806000</v>
      </c>
      <c r="J316" s="43">
        <v>64</v>
      </c>
      <c r="K316" s="43">
        <v>833800</v>
      </c>
      <c r="L316" s="43">
        <v>115</v>
      </c>
      <c r="M316" s="43">
        <v>1522875500</v>
      </c>
      <c r="N316" s="43">
        <v>94</v>
      </c>
      <c r="O316" s="43">
        <v>1156238100</v>
      </c>
      <c r="P316" s="43">
        <v>4</v>
      </c>
      <c r="Q316" s="43">
        <v>60501400</v>
      </c>
      <c r="R316" s="43">
        <v>17</v>
      </c>
      <c r="S316" s="43">
        <v>306136000</v>
      </c>
      <c r="T316" s="44">
        <f t="shared" si="24"/>
        <v>5842</v>
      </c>
      <c r="U316" s="44">
        <f t="shared" si="24"/>
        <v>3674769100</v>
      </c>
      <c r="V316" s="45">
        <f t="shared" si="25"/>
        <v>0.57123804050708926</v>
      </c>
      <c r="W316" s="44">
        <f t="shared" si="26"/>
        <v>5278</v>
      </c>
      <c r="X316" s="44">
        <f t="shared" si="27"/>
        <v>2405303900</v>
      </c>
      <c r="Y316" s="43">
        <f t="shared" si="28"/>
        <v>397720.32967032969</v>
      </c>
      <c r="Z316" s="45">
        <f t="shared" si="29"/>
        <v>8.330754713268923E-2</v>
      </c>
    </row>
    <row r="317" spans="1:26">
      <c r="A317" s="42" t="s">
        <v>698</v>
      </c>
      <c r="B317" s="42" t="s">
        <v>699</v>
      </c>
      <c r="C317" s="42" t="s">
        <v>18</v>
      </c>
      <c r="D317" s="43">
        <v>590</v>
      </c>
      <c r="E317" s="43">
        <v>60388200</v>
      </c>
      <c r="F317" s="43">
        <v>11941</v>
      </c>
      <c r="G317" s="43">
        <v>1712742000</v>
      </c>
      <c r="H317" s="43">
        <v>1</v>
      </c>
      <c r="I317" s="43">
        <v>143900</v>
      </c>
      <c r="J317" s="43">
        <v>2</v>
      </c>
      <c r="K317" s="43">
        <v>8700</v>
      </c>
      <c r="L317" s="43">
        <v>482</v>
      </c>
      <c r="M317" s="43">
        <v>502190500</v>
      </c>
      <c r="N317" s="43">
        <v>415</v>
      </c>
      <c r="O317" s="43">
        <v>181383700</v>
      </c>
      <c r="P317" s="43">
        <v>45</v>
      </c>
      <c r="Q317" s="43">
        <v>162969600</v>
      </c>
      <c r="R317" s="43">
        <v>22</v>
      </c>
      <c r="S317" s="43">
        <v>157837200</v>
      </c>
      <c r="T317" s="44">
        <f t="shared" si="24"/>
        <v>13016</v>
      </c>
      <c r="U317" s="44">
        <f t="shared" si="24"/>
        <v>2275473300</v>
      </c>
      <c r="V317" s="45">
        <f t="shared" si="25"/>
        <v>0.75276027189596117</v>
      </c>
      <c r="W317" s="44">
        <f t="shared" si="26"/>
        <v>11942</v>
      </c>
      <c r="X317" s="44">
        <f t="shared" si="27"/>
        <v>1870723100</v>
      </c>
      <c r="Y317" s="43">
        <f t="shared" si="28"/>
        <v>143433.75481493887</v>
      </c>
      <c r="Z317" s="45">
        <f t="shared" si="29"/>
        <v>6.9364558133905588E-2</v>
      </c>
    </row>
    <row r="318" spans="1:26">
      <c r="A318" s="42" t="s">
        <v>700</v>
      </c>
      <c r="B318" s="42" t="s">
        <v>701</v>
      </c>
      <c r="C318" s="42" t="s">
        <v>18</v>
      </c>
      <c r="D318" s="43">
        <v>143</v>
      </c>
      <c r="E318" s="43">
        <v>27783800</v>
      </c>
      <c r="F318" s="43">
        <v>2647</v>
      </c>
      <c r="G318" s="43">
        <v>743403500</v>
      </c>
      <c r="H318" s="43"/>
      <c r="I318" s="43"/>
      <c r="J318" s="43"/>
      <c r="K318" s="43"/>
      <c r="L318" s="43">
        <v>168</v>
      </c>
      <c r="M318" s="43">
        <v>107360900</v>
      </c>
      <c r="N318" s="43">
        <v>149</v>
      </c>
      <c r="O318" s="43">
        <v>75585900</v>
      </c>
      <c r="P318" s="43">
        <v>11</v>
      </c>
      <c r="Q318" s="43">
        <v>25962200</v>
      </c>
      <c r="R318" s="43">
        <v>8</v>
      </c>
      <c r="S318" s="43">
        <v>5812800</v>
      </c>
      <c r="T318" s="44">
        <f t="shared" si="24"/>
        <v>2958</v>
      </c>
      <c r="U318" s="44">
        <f t="shared" si="24"/>
        <v>878548200</v>
      </c>
      <c r="V318" s="45">
        <f t="shared" si="25"/>
        <v>0.84617269718383126</v>
      </c>
      <c r="W318" s="44">
        <f t="shared" si="26"/>
        <v>2647</v>
      </c>
      <c r="X318" s="44">
        <f t="shared" si="27"/>
        <v>749216300</v>
      </c>
      <c r="Y318" s="43">
        <f t="shared" si="28"/>
        <v>280847.56327918399</v>
      </c>
      <c r="Z318" s="45">
        <f t="shared" si="29"/>
        <v>6.6163700523204074E-3</v>
      </c>
    </row>
    <row r="319" spans="1:26">
      <c r="A319" s="42" t="s">
        <v>702</v>
      </c>
      <c r="B319" s="42" t="s">
        <v>703</v>
      </c>
      <c r="C319" s="42" t="s">
        <v>18</v>
      </c>
      <c r="D319" s="43">
        <v>1205</v>
      </c>
      <c r="E319" s="43">
        <v>150909900</v>
      </c>
      <c r="F319" s="43">
        <v>11889</v>
      </c>
      <c r="G319" s="43">
        <v>2309240500</v>
      </c>
      <c r="H319" s="43">
        <v>84</v>
      </c>
      <c r="I319" s="43">
        <v>15611700</v>
      </c>
      <c r="J319" s="43">
        <v>254</v>
      </c>
      <c r="K319" s="43">
        <v>4683900</v>
      </c>
      <c r="L319" s="43">
        <v>533</v>
      </c>
      <c r="M319" s="43">
        <v>1431662400</v>
      </c>
      <c r="N319" s="43">
        <v>328</v>
      </c>
      <c r="O319" s="43">
        <v>307432400</v>
      </c>
      <c r="P319" s="43">
        <v>188</v>
      </c>
      <c r="Q319" s="43">
        <v>1029656100</v>
      </c>
      <c r="R319" s="43">
        <v>17</v>
      </c>
      <c r="S319" s="43">
        <v>94573900</v>
      </c>
      <c r="T319" s="44">
        <f t="shared" si="24"/>
        <v>13965</v>
      </c>
      <c r="U319" s="44">
        <f t="shared" si="24"/>
        <v>3912108400</v>
      </c>
      <c r="V319" s="45">
        <f t="shared" si="25"/>
        <v>0.59427090517225956</v>
      </c>
      <c r="W319" s="44">
        <f t="shared" si="26"/>
        <v>11973</v>
      </c>
      <c r="X319" s="44">
        <f t="shared" si="27"/>
        <v>2419426100</v>
      </c>
      <c r="Y319" s="43">
        <f t="shared" si="28"/>
        <v>194174.576129625</v>
      </c>
      <c r="Z319" s="45">
        <f t="shared" si="29"/>
        <v>2.4174662440335244E-2</v>
      </c>
    </row>
    <row r="320" spans="1:26">
      <c r="A320" s="42" t="s">
        <v>704</v>
      </c>
      <c r="B320" s="42" t="s">
        <v>705</v>
      </c>
      <c r="C320" s="42" t="s">
        <v>18</v>
      </c>
      <c r="D320" s="43">
        <v>360</v>
      </c>
      <c r="E320" s="43">
        <v>23492800</v>
      </c>
      <c r="F320" s="43">
        <v>7156</v>
      </c>
      <c r="G320" s="43">
        <v>867210700</v>
      </c>
      <c r="H320" s="43"/>
      <c r="I320" s="43"/>
      <c r="J320" s="43">
        <v>13</v>
      </c>
      <c r="K320" s="43">
        <v>82500</v>
      </c>
      <c r="L320" s="43">
        <v>547</v>
      </c>
      <c r="M320" s="43">
        <v>534868900</v>
      </c>
      <c r="N320" s="43">
        <v>221</v>
      </c>
      <c r="O320" s="43">
        <v>175644400</v>
      </c>
      <c r="P320" s="43">
        <v>324</v>
      </c>
      <c r="Q320" s="43">
        <v>337224500</v>
      </c>
      <c r="R320" s="43">
        <v>2</v>
      </c>
      <c r="S320" s="43">
        <v>22000000</v>
      </c>
      <c r="T320" s="44">
        <f t="shared" si="24"/>
        <v>8076</v>
      </c>
      <c r="U320" s="44">
        <f t="shared" si="24"/>
        <v>1425654900</v>
      </c>
      <c r="V320" s="45">
        <f t="shared" si="25"/>
        <v>0.608289355299098</v>
      </c>
      <c r="W320" s="44">
        <f t="shared" si="26"/>
        <v>7156</v>
      </c>
      <c r="X320" s="44">
        <f t="shared" si="27"/>
        <v>889210700</v>
      </c>
      <c r="Y320" s="43">
        <f t="shared" si="28"/>
        <v>121186.51481274456</v>
      </c>
      <c r="Z320" s="45">
        <f t="shared" si="29"/>
        <v>1.5431504496635195E-2</v>
      </c>
    </row>
    <row r="321" spans="1:26">
      <c r="A321" s="42" t="s">
        <v>706</v>
      </c>
      <c r="B321" s="42" t="s">
        <v>707</v>
      </c>
      <c r="C321" s="42" t="s">
        <v>18</v>
      </c>
      <c r="D321" s="43">
        <v>277</v>
      </c>
      <c r="E321" s="43">
        <v>3482800</v>
      </c>
      <c r="F321" s="43">
        <v>4409</v>
      </c>
      <c r="G321" s="43">
        <v>368031400</v>
      </c>
      <c r="H321" s="43"/>
      <c r="I321" s="43"/>
      <c r="J321" s="43"/>
      <c r="K321" s="43"/>
      <c r="L321" s="43">
        <v>240</v>
      </c>
      <c r="M321" s="43">
        <v>54830200</v>
      </c>
      <c r="N321" s="43">
        <v>195</v>
      </c>
      <c r="O321" s="43">
        <v>25641000</v>
      </c>
      <c r="P321" s="43">
        <v>28</v>
      </c>
      <c r="Q321" s="43">
        <v>19514000</v>
      </c>
      <c r="R321" s="43">
        <v>17</v>
      </c>
      <c r="S321" s="43">
        <v>9675200</v>
      </c>
      <c r="T321" s="44">
        <f t="shared" si="24"/>
        <v>4926</v>
      </c>
      <c r="U321" s="44">
        <f t="shared" si="24"/>
        <v>426344400</v>
      </c>
      <c r="V321" s="45">
        <f t="shared" si="25"/>
        <v>0.86322559883512018</v>
      </c>
      <c r="W321" s="44">
        <f t="shared" si="26"/>
        <v>4409</v>
      </c>
      <c r="X321" s="44">
        <f t="shared" si="27"/>
        <v>377706600</v>
      </c>
      <c r="Y321" s="43">
        <f t="shared" si="28"/>
        <v>83472.760263098215</v>
      </c>
      <c r="Z321" s="45">
        <f t="shared" si="29"/>
        <v>2.2693390601588762E-2</v>
      </c>
    </row>
    <row r="322" spans="1:26">
      <c r="A322" s="42" t="s">
        <v>708</v>
      </c>
      <c r="B322" s="42" t="s">
        <v>709</v>
      </c>
      <c r="C322" s="42" t="s">
        <v>18</v>
      </c>
      <c r="D322" s="43">
        <v>254</v>
      </c>
      <c r="E322" s="43">
        <v>8591300</v>
      </c>
      <c r="F322" s="43">
        <v>2525</v>
      </c>
      <c r="G322" s="43">
        <v>639963800</v>
      </c>
      <c r="H322" s="43"/>
      <c r="I322" s="43"/>
      <c r="J322" s="43"/>
      <c r="K322" s="43"/>
      <c r="L322" s="43">
        <v>65</v>
      </c>
      <c r="M322" s="43">
        <v>100982500</v>
      </c>
      <c r="N322" s="43">
        <v>57</v>
      </c>
      <c r="O322" s="43">
        <v>63240900</v>
      </c>
      <c r="P322" s="43">
        <v>5</v>
      </c>
      <c r="Q322" s="43">
        <v>30471100</v>
      </c>
      <c r="R322" s="43">
        <v>3</v>
      </c>
      <c r="S322" s="43">
        <v>7270500</v>
      </c>
      <c r="T322" s="44">
        <f t="shared" ref="T322:U385" si="30">R322+P322+N322+J322+H322+F322+D322</f>
        <v>2844</v>
      </c>
      <c r="U322" s="44">
        <f t="shared" si="30"/>
        <v>749537600</v>
      </c>
      <c r="V322" s="45">
        <f t="shared" ref="V322:V385" si="31">(G322+I322)/U322</f>
        <v>0.8538114698982413</v>
      </c>
      <c r="W322" s="44">
        <f t="shared" ref="W322:W385" si="32">F322+H322</f>
        <v>2525</v>
      </c>
      <c r="X322" s="44">
        <f t="shared" ref="X322:X385" si="33">G322+I322+S322</f>
        <v>647234300</v>
      </c>
      <c r="Y322" s="43">
        <f t="shared" ref="Y322:Y385" si="34">(G322+I322)/(H322+F322)</f>
        <v>253451.00990099009</v>
      </c>
      <c r="Z322" s="45">
        <f t="shared" ref="Z322:Z385" si="35">S322/U322</f>
        <v>9.6999803612253747E-3</v>
      </c>
    </row>
    <row r="323" spans="1:26">
      <c r="A323" s="42" t="s">
        <v>710</v>
      </c>
      <c r="B323" s="42" t="s">
        <v>711</v>
      </c>
      <c r="C323" s="42" t="s">
        <v>18</v>
      </c>
      <c r="D323" s="43">
        <v>1000</v>
      </c>
      <c r="E323" s="43">
        <v>57533452</v>
      </c>
      <c r="F323" s="43">
        <v>26424</v>
      </c>
      <c r="G323" s="43">
        <v>1986963200</v>
      </c>
      <c r="H323" s="43"/>
      <c r="I323" s="43"/>
      <c r="J323" s="43"/>
      <c r="K323" s="43"/>
      <c r="L323" s="43">
        <v>1315</v>
      </c>
      <c r="M323" s="43">
        <v>1130123500</v>
      </c>
      <c r="N323" s="43">
        <v>1064</v>
      </c>
      <c r="O323" s="43">
        <v>688079000</v>
      </c>
      <c r="P323" s="43">
        <v>166</v>
      </c>
      <c r="Q323" s="43">
        <v>276846400</v>
      </c>
      <c r="R323" s="43">
        <v>85</v>
      </c>
      <c r="S323" s="43">
        <v>165198100</v>
      </c>
      <c r="T323" s="44">
        <f t="shared" si="30"/>
        <v>28739</v>
      </c>
      <c r="U323" s="44">
        <f t="shared" si="30"/>
        <v>3174620152</v>
      </c>
      <c r="V323" s="45">
        <f t="shared" si="31"/>
        <v>0.6258900608150616</v>
      </c>
      <c r="W323" s="44">
        <f t="shared" si="32"/>
        <v>26424</v>
      </c>
      <c r="X323" s="44">
        <f t="shared" si="33"/>
        <v>2152161300</v>
      </c>
      <c r="Y323" s="43">
        <f t="shared" si="34"/>
        <v>75195.398122918559</v>
      </c>
      <c r="Z323" s="45">
        <f t="shared" si="35"/>
        <v>5.2037123211709516E-2</v>
      </c>
    </row>
    <row r="324" spans="1:26">
      <c r="A324" s="42" t="s">
        <v>712</v>
      </c>
      <c r="B324" s="42" t="s">
        <v>713</v>
      </c>
      <c r="C324" s="42" t="s">
        <v>19</v>
      </c>
      <c r="D324" s="43">
        <v>8</v>
      </c>
      <c r="E324" s="43">
        <v>7450200</v>
      </c>
      <c r="F324" s="43">
        <v>296</v>
      </c>
      <c r="G324" s="43">
        <v>539836900</v>
      </c>
      <c r="H324" s="43"/>
      <c r="I324" s="43"/>
      <c r="J324" s="43"/>
      <c r="K324" s="43"/>
      <c r="L324" s="43">
        <v>31</v>
      </c>
      <c r="M324" s="43">
        <v>40171200</v>
      </c>
      <c r="N324" s="43">
        <v>26</v>
      </c>
      <c r="O324" s="43">
        <v>32589000</v>
      </c>
      <c r="P324" s="43">
        <v>1</v>
      </c>
      <c r="Q324" s="43">
        <v>3666100</v>
      </c>
      <c r="R324" s="43">
        <v>4</v>
      </c>
      <c r="S324" s="43">
        <v>3916100</v>
      </c>
      <c r="T324" s="44">
        <f t="shared" si="30"/>
        <v>335</v>
      </c>
      <c r="U324" s="44">
        <f t="shared" si="30"/>
        <v>587458300</v>
      </c>
      <c r="V324" s="45">
        <f t="shared" si="31"/>
        <v>0.91893654409172532</v>
      </c>
      <c r="W324" s="44">
        <f t="shared" si="32"/>
        <v>296</v>
      </c>
      <c r="X324" s="44">
        <f t="shared" si="33"/>
        <v>543753000</v>
      </c>
      <c r="Y324" s="43">
        <f t="shared" si="34"/>
        <v>1823773.3108108109</v>
      </c>
      <c r="Z324" s="45">
        <f t="shared" si="35"/>
        <v>6.666175284271241E-3</v>
      </c>
    </row>
    <row r="325" spans="1:26">
      <c r="A325" s="42" t="s">
        <v>714</v>
      </c>
      <c r="B325" s="42" t="s">
        <v>715</v>
      </c>
      <c r="C325" s="42" t="s">
        <v>19</v>
      </c>
      <c r="D325" s="43">
        <v>28</v>
      </c>
      <c r="E325" s="43">
        <v>430700</v>
      </c>
      <c r="F325" s="43">
        <v>588</v>
      </c>
      <c r="G325" s="43">
        <v>90145200</v>
      </c>
      <c r="H325" s="43"/>
      <c r="I325" s="43"/>
      <c r="J325" s="43">
        <v>2</v>
      </c>
      <c r="K325" s="43">
        <v>4300</v>
      </c>
      <c r="L325" s="43">
        <v>41</v>
      </c>
      <c r="M325" s="43">
        <v>10519400</v>
      </c>
      <c r="N325" s="43">
        <v>39</v>
      </c>
      <c r="O325" s="43">
        <v>8151000</v>
      </c>
      <c r="P325" s="43"/>
      <c r="Q325" s="43"/>
      <c r="R325" s="43">
        <v>2</v>
      </c>
      <c r="S325" s="43">
        <v>2368400</v>
      </c>
      <c r="T325" s="44">
        <f t="shared" si="30"/>
        <v>659</v>
      </c>
      <c r="U325" s="44">
        <f t="shared" si="30"/>
        <v>101099600</v>
      </c>
      <c r="V325" s="45">
        <f t="shared" si="31"/>
        <v>0.89164744469809964</v>
      </c>
      <c r="W325" s="44">
        <f t="shared" si="32"/>
        <v>588</v>
      </c>
      <c r="X325" s="44">
        <f t="shared" si="33"/>
        <v>92513600</v>
      </c>
      <c r="Y325" s="43">
        <f t="shared" si="34"/>
        <v>153308.16326530612</v>
      </c>
      <c r="Z325" s="45">
        <f t="shared" si="35"/>
        <v>2.3426403269646963E-2</v>
      </c>
    </row>
    <row r="326" spans="1:26">
      <c r="A326" s="42" t="s">
        <v>716</v>
      </c>
      <c r="B326" s="42" t="s">
        <v>717</v>
      </c>
      <c r="C326" s="42" t="s">
        <v>19</v>
      </c>
      <c r="D326" s="43">
        <v>670</v>
      </c>
      <c r="E326" s="43">
        <v>19585500</v>
      </c>
      <c r="F326" s="43">
        <v>2971</v>
      </c>
      <c r="G326" s="43">
        <v>263924200</v>
      </c>
      <c r="H326" s="43"/>
      <c r="I326" s="43"/>
      <c r="J326" s="43"/>
      <c r="K326" s="43"/>
      <c r="L326" s="43">
        <v>516</v>
      </c>
      <c r="M326" s="43">
        <v>144197900</v>
      </c>
      <c r="N326" s="43">
        <v>375</v>
      </c>
      <c r="O326" s="43">
        <v>85967600</v>
      </c>
      <c r="P326" s="43">
        <v>3</v>
      </c>
      <c r="Q326" s="43">
        <v>694100</v>
      </c>
      <c r="R326" s="43">
        <v>138</v>
      </c>
      <c r="S326" s="43">
        <v>57536200</v>
      </c>
      <c r="T326" s="44">
        <f t="shared" si="30"/>
        <v>4157</v>
      </c>
      <c r="U326" s="44">
        <f t="shared" si="30"/>
        <v>427707600</v>
      </c>
      <c r="V326" s="45">
        <f t="shared" si="31"/>
        <v>0.61706689336359699</v>
      </c>
      <c r="W326" s="44">
        <f t="shared" si="32"/>
        <v>2971</v>
      </c>
      <c r="X326" s="44">
        <f t="shared" si="33"/>
        <v>321460400</v>
      </c>
      <c r="Y326" s="43">
        <f t="shared" si="34"/>
        <v>88833.456748569501</v>
      </c>
      <c r="Z326" s="45">
        <f t="shared" si="35"/>
        <v>0.13452227643371312</v>
      </c>
    </row>
    <row r="327" spans="1:26">
      <c r="A327" s="42" t="s">
        <v>718</v>
      </c>
      <c r="B327" s="42" t="s">
        <v>719</v>
      </c>
      <c r="C327" s="42" t="s">
        <v>19</v>
      </c>
      <c r="D327" s="43">
        <v>97</v>
      </c>
      <c r="E327" s="43">
        <v>9634800</v>
      </c>
      <c r="F327" s="43">
        <v>1629</v>
      </c>
      <c r="G327" s="43">
        <v>552573700</v>
      </c>
      <c r="H327" s="43"/>
      <c r="I327" s="43"/>
      <c r="J327" s="43"/>
      <c r="K327" s="43"/>
      <c r="L327" s="43">
        <v>102</v>
      </c>
      <c r="M327" s="43">
        <v>71540000</v>
      </c>
      <c r="N327" s="43">
        <v>90</v>
      </c>
      <c r="O327" s="43">
        <v>56800100</v>
      </c>
      <c r="P327" s="43">
        <v>4</v>
      </c>
      <c r="Q327" s="43">
        <v>3077000</v>
      </c>
      <c r="R327" s="43">
        <v>8</v>
      </c>
      <c r="S327" s="43">
        <v>11662900</v>
      </c>
      <c r="T327" s="44">
        <f t="shared" si="30"/>
        <v>1828</v>
      </c>
      <c r="U327" s="44">
        <f t="shared" si="30"/>
        <v>633748500</v>
      </c>
      <c r="V327" s="45">
        <f t="shared" si="31"/>
        <v>0.87191322740803334</v>
      </c>
      <c r="W327" s="44">
        <f t="shared" si="32"/>
        <v>1629</v>
      </c>
      <c r="X327" s="44">
        <f t="shared" si="33"/>
        <v>564236600</v>
      </c>
      <c r="Y327" s="43">
        <f t="shared" si="34"/>
        <v>339210.37446286064</v>
      </c>
      <c r="Z327" s="45">
        <f t="shared" si="35"/>
        <v>1.8403041585108287E-2</v>
      </c>
    </row>
    <row r="328" spans="1:26">
      <c r="A328" s="42" t="s">
        <v>720</v>
      </c>
      <c r="B328" s="42" t="s">
        <v>721</v>
      </c>
      <c r="C328" s="42" t="s">
        <v>19</v>
      </c>
      <c r="D328" s="43">
        <v>11</v>
      </c>
      <c r="E328" s="43">
        <v>6695500</v>
      </c>
      <c r="F328" s="43">
        <v>955</v>
      </c>
      <c r="G328" s="43">
        <v>908570000</v>
      </c>
      <c r="H328" s="43"/>
      <c r="I328" s="43"/>
      <c r="J328" s="43"/>
      <c r="K328" s="43"/>
      <c r="L328" s="43">
        <v>62</v>
      </c>
      <c r="M328" s="43">
        <v>61656900</v>
      </c>
      <c r="N328" s="43">
        <v>52</v>
      </c>
      <c r="O328" s="43">
        <v>45193000</v>
      </c>
      <c r="P328" s="43">
        <v>2</v>
      </c>
      <c r="Q328" s="43">
        <v>2303600</v>
      </c>
      <c r="R328" s="43">
        <v>8</v>
      </c>
      <c r="S328" s="43">
        <v>14160300</v>
      </c>
      <c r="T328" s="44">
        <f t="shared" si="30"/>
        <v>1028</v>
      </c>
      <c r="U328" s="44">
        <f t="shared" si="30"/>
        <v>976922400</v>
      </c>
      <c r="V328" s="45">
        <f t="shared" si="31"/>
        <v>0.9300329278968319</v>
      </c>
      <c r="W328" s="44">
        <f t="shared" si="32"/>
        <v>955</v>
      </c>
      <c r="X328" s="44">
        <f t="shared" si="33"/>
        <v>922730300</v>
      </c>
      <c r="Y328" s="43">
        <f t="shared" si="34"/>
        <v>951382.19895287952</v>
      </c>
      <c r="Z328" s="45">
        <f t="shared" si="35"/>
        <v>1.4494805319235181E-2</v>
      </c>
    </row>
    <row r="329" spans="1:26">
      <c r="A329" s="42" t="s">
        <v>722</v>
      </c>
      <c r="B329" s="42" t="s">
        <v>723</v>
      </c>
      <c r="C329" s="42" t="s">
        <v>19</v>
      </c>
      <c r="D329" s="43">
        <v>106</v>
      </c>
      <c r="E329" s="43">
        <v>22038100</v>
      </c>
      <c r="F329" s="43">
        <v>2589</v>
      </c>
      <c r="G329" s="43">
        <v>865626900</v>
      </c>
      <c r="H329" s="43"/>
      <c r="I329" s="43"/>
      <c r="J329" s="43"/>
      <c r="K329" s="43"/>
      <c r="L329" s="43">
        <v>191</v>
      </c>
      <c r="M329" s="43">
        <v>130940600</v>
      </c>
      <c r="N329" s="43">
        <v>163</v>
      </c>
      <c r="O329" s="43">
        <v>103311200</v>
      </c>
      <c r="P329" s="43"/>
      <c r="Q329" s="43"/>
      <c r="R329" s="43">
        <v>28</v>
      </c>
      <c r="S329" s="43">
        <v>27629400</v>
      </c>
      <c r="T329" s="44">
        <f t="shared" si="30"/>
        <v>2886</v>
      </c>
      <c r="U329" s="44">
        <f t="shared" si="30"/>
        <v>1018605600</v>
      </c>
      <c r="V329" s="45">
        <f t="shared" si="31"/>
        <v>0.84981557140467323</v>
      </c>
      <c r="W329" s="44">
        <f t="shared" si="32"/>
        <v>2589</v>
      </c>
      <c r="X329" s="44">
        <f t="shared" si="33"/>
        <v>893256300</v>
      </c>
      <c r="Y329" s="43">
        <f t="shared" si="34"/>
        <v>334347.97219003475</v>
      </c>
      <c r="Z329" s="45">
        <f t="shared" si="35"/>
        <v>2.7124728157787468E-2</v>
      </c>
    </row>
    <row r="330" spans="1:26">
      <c r="A330" s="42" t="s">
        <v>724</v>
      </c>
      <c r="B330" s="42" t="s">
        <v>725</v>
      </c>
      <c r="C330" s="42" t="s">
        <v>19</v>
      </c>
      <c r="D330" s="43">
        <v>63</v>
      </c>
      <c r="E330" s="43">
        <v>11149200</v>
      </c>
      <c r="F330" s="43">
        <v>1859</v>
      </c>
      <c r="G330" s="43">
        <v>987993700</v>
      </c>
      <c r="H330" s="43"/>
      <c r="I330" s="43"/>
      <c r="J330" s="43"/>
      <c r="K330" s="43"/>
      <c r="L330" s="43">
        <v>142</v>
      </c>
      <c r="M330" s="43">
        <v>123901500</v>
      </c>
      <c r="N330" s="43">
        <v>98</v>
      </c>
      <c r="O330" s="43">
        <v>65263100</v>
      </c>
      <c r="P330" s="43">
        <v>4</v>
      </c>
      <c r="Q330" s="43">
        <v>1774900</v>
      </c>
      <c r="R330" s="43">
        <v>40</v>
      </c>
      <c r="S330" s="43">
        <v>56863500</v>
      </c>
      <c r="T330" s="44">
        <f t="shared" si="30"/>
        <v>2064</v>
      </c>
      <c r="U330" s="44">
        <f t="shared" si="30"/>
        <v>1123044400</v>
      </c>
      <c r="V330" s="45">
        <f t="shared" si="31"/>
        <v>0.87974589428521255</v>
      </c>
      <c r="W330" s="44">
        <f t="shared" si="32"/>
        <v>1859</v>
      </c>
      <c r="X330" s="44">
        <f t="shared" si="33"/>
        <v>1044857200</v>
      </c>
      <c r="Y330" s="43">
        <f t="shared" si="34"/>
        <v>531465.14254975796</v>
      </c>
      <c r="Z330" s="45">
        <f t="shared" si="35"/>
        <v>5.063334984796683E-2</v>
      </c>
    </row>
    <row r="331" spans="1:26">
      <c r="A331" s="42" t="s">
        <v>726</v>
      </c>
      <c r="B331" s="42" t="s">
        <v>727</v>
      </c>
      <c r="C331" s="42" t="s">
        <v>19</v>
      </c>
      <c r="D331" s="43">
        <v>92</v>
      </c>
      <c r="E331" s="43">
        <v>41150000</v>
      </c>
      <c r="F331" s="43">
        <v>1912</v>
      </c>
      <c r="G331" s="43">
        <v>1525621700</v>
      </c>
      <c r="H331" s="43"/>
      <c r="I331" s="43"/>
      <c r="J331" s="43"/>
      <c r="K331" s="43"/>
      <c r="L331" s="43">
        <v>87</v>
      </c>
      <c r="M331" s="43">
        <v>137695800</v>
      </c>
      <c r="N331" s="43">
        <v>84</v>
      </c>
      <c r="O331" s="43">
        <v>123714000</v>
      </c>
      <c r="P331" s="43"/>
      <c r="Q331" s="43"/>
      <c r="R331" s="43">
        <v>3</v>
      </c>
      <c r="S331" s="43">
        <v>13981800</v>
      </c>
      <c r="T331" s="44">
        <f t="shared" si="30"/>
        <v>2091</v>
      </c>
      <c r="U331" s="44">
        <f t="shared" si="30"/>
        <v>1704467500</v>
      </c>
      <c r="V331" s="45">
        <f t="shared" si="31"/>
        <v>0.89507233197464897</v>
      </c>
      <c r="W331" s="44">
        <f t="shared" si="32"/>
        <v>1912</v>
      </c>
      <c r="X331" s="44">
        <f t="shared" si="33"/>
        <v>1539603500</v>
      </c>
      <c r="Y331" s="43">
        <f t="shared" si="34"/>
        <v>797919.29916317994</v>
      </c>
      <c r="Z331" s="45">
        <f t="shared" si="35"/>
        <v>8.2030311519580169E-3</v>
      </c>
    </row>
    <row r="332" spans="1:26">
      <c r="A332" s="42" t="s">
        <v>728</v>
      </c>
      <c r="B332" s="42" t="s">
        <v>729</v>
      </c>
      <c r="C332" s="42" t="s">
        <v>19</v>
      </c>
      <c r="D332" s="43">
        <v>145</v>
      </c>
      <c r="E332" s="43">
        <v>23323500</v>
      </c>
      <c r="F332" s="43">
        <v>3051</v>
      </c>
      <c r="G332" s="43">
        <v>1223359000</v>
      </c>
      <c r="H332" s="43">
        <v>203</v>
      </c>
      <c r="I332" s="43">
        <v>112221650</v>
      </c>
      <c r="J332" s="43">
        <v>313</v>
      </c>
      <c r="K332" s="43">
        <v>4585550</v>
      </c>
      <c r="L332" s="43">
        <v>68</v>
      </c>
      <c r="M332" s="43">
        <v>78003100</v>
      </c>
      <c r="N332" s="43">
        <v>68</v>
      </c>
      <c r="O332" s="43">
        <v>78003100</v>
      </c>
      <c r="P332" s="43"/>
      <c r="Q332" s="43"/>
      <c r="R332" s="43"/>
      <c r="S332" s="43"/>
      <c r="T332" s="44">
        <f t="shared" si="30"/>
        <v>3780</v>
      </c>
      <c r="U332" s="44">
        <f t="shared" si="30"/>
        <v>1441492800</v>
      </c>
      <c r="V332" s="45">
        <f t="shared" si="31"/>
        <v>0.92652606381384628</v>
      </c>
      <c r="W332" s="44">
        <f t="shared" si="32"/>
        <v>3254</v>
      </c>
      <c r="X332" s="44">
        <f t="shared" si="33"/>
        <v>1335580650</v>
      </c>
      <c r="Y332" s="43">
        <f t="shared" si="34"/>
        <v>410442.73202212661</v>
      </c>
      <c r="Z332" s="45">
        <f t="shared" si="35"/>
        <v>0</v>
      </c>
    </row>
    <row r="333" spans="1:26">
      <c r="A333" s="42" t="s">
        <v>730</v>
      </c>
      <c r="B333" s="42" t="s">
        <v>731</v>
      </c>
      <c r="C333" s="42" t="s">
        <v>19</v>
      </c>
      <c r="D333" s="43">
        <v>57</v>
      </c>
      <c r="E333" s="43">
        <v>47043100</v>
      </c>
      <c r="F333" s="43">
        <v>855</v>
      </c>
      <c r="G333" s="43">
        <v>1042771600</v>
      </c>
      <c r="H333" s="43"/>
      <c r="I333" s="43"/>
      <c r="J333" s="43"/>
      <c r="K333" s="43"/>
      <c r="L333" s="43">
        <v>20</v>
      </c>
      <c r="M333" s="43">
        <v>15779600</v>
      </c>
      <c r="N333" s="43">
        <v>16</v>
      </c>
      <c r="O333" s="43">
        <v>13309100</v>
      </c>
      <c r="P333" s="43"/>
      <c r="Q333" s="43"/>
      <c r="R333" s="43">
        <v>4</v>
      </c>
      <c r="S333" s="43">
        <v>2470500</v>
      </c>
      <c r="T333" s="44">
        <f t="shared" si="30"/>
        <v>932</v>
      </c>
      <c r="U333" s="44">
        <f t="shared" si="30"/>
        <v>1105594300</v>
      </c>
      <c r="V333" s="45">
        <f t="shared" si="31"/>
        <v>0.94317743859569469</v>
      </c>
      <c r="W333" s="44">
        <f t="shared" si="32"/>
        <v>855</v>
      </c>
      <c r="X333" s="44">
        <f t="shared" si="33"/>
        <v>1045242100</v>
      </c>
      <c r="Y333" s="43">
        <f t="shared" si="34"/>
        <v>1219615.9064327485</v>
      </c>
      <c r="Z333" s="45">
        <f t="shared" si="35"/>
        <v>2.2345448054498832E-3</v>
      </c>
    </row>
    <row r="334" spans="1:26">
      <c r="A334" s="42" t="s">
        <v>732</v>
      </c>
      <c r="B334" s="42" t="s">
        <v>733</v>
      </c>
      <c r="C334" s="42" t="s">
        <v>19</v>
      </c>
      <c r="D334" s="43">
        <v>156</v>
      </c>
      <c r="E334" s="43">
        <v>41936400</v>
      </c>
      <c r="F334" s="43">
        <v>2784</v>
      </c>
      <c r="G334" s="43">
        <v>1111379400</v>
      </c>
      <c r="H334" s="43">
        <v>2</v>
      </c>
      <c r="I334" s="43">
        <v>416900</v>
      </c>
      <c r="J334" s="43">
        <v>6</v>
      </c>
      <c r="K334" s="43">
        <v>16300</v>
      </c>
      <c r="L334" s="43">
        <v>262</v>
      </c>
      <c r="M334" s="43">
        <v>1294785000</v>
      </c>
      <c r="N334" s="43">
        <v>197</v>
      </c>
      <c r="O334" s="43">
        <v>907558600</v>
      </c>
      <c r="P334" s="43">
        <v>42</v>
      </c>
      <c r="Q334" s="43">
        <v>211999300</v>
      </c>
      <c r="R334" s="43">
        <v>23</v>
      </c>
      <c r="S334" s="43">
        <v>175227100</v>
      </c>
      <c r="T334" s="44">
        <f t="shared" si="30"/>
        <v>3210</v>
      </c>
      <c r="U334" s="44">
        <f t="shared" si="30"/>
        <v>2448534000</v>
      </c>
      <c r="V334" s="45">
        <f t="shared" si="31"/>
        <v>0.45406610649474338</v>
      </c>
      <c r="W334" s="44">
        <f t="shared" si="32"/>
        <v>2786</v>
      </c>
      <c r="X334" s="44">
        <f t="shared" si="33"/>
        <v>1287023400</v>
      </c>
      <c r="Y334" s="43">
        <f t="shared" si="34"/>
        <v>399065.43431442929</v>
      </c>
      <c r="Z334" s="45">
        <f t="shared" si="35"/>
        <v>7.1564086918948236E-2</v>
      </c>
    </row>
    <row r="335" spans="1:26">
      <c r="A335" s="42" t="s">
        <v>734</v>
      </c>
      <c r="B335" s="42" t="s">
        <v>735</v>
      </c>
      <c r="C335" s="42" t="s">
        <v>19</v>
      </c>
      <c r="D335" s="43">
        <v>25</v>
      </c>
      <c r="E335" s="43">
        <v>3353400</v>
      </c>
      <c r="F335" s="43">
        <v>599</v>
      </c>
      <c r="G335" s="43">
        <v>198838400</v>
      </c>
      <c r="H335" s="43"/>
      <c r="I335" s="43"/>
      <c r="J335" s="43"/>
      <c r="K335" s="43"/>
      <c r="L335" s="43">
        <v>51</v>
      </c>
      <c r="M335" s="43">
        <v>53917600</v>
      </c>
      <c r="N335" s="43">
        <v>45</v>
      </c>
      <c r="O335" s="43">
        <v>42425900</v>
      </c>
      <c r="P335" s="43">
        <v>5</v>
      </c>
      <c r="Q335" s="43">
        <v>10229600</v>
      </c>
      <c r="R335" s="43">
        <v>1</v>
      </c>
      <c r="S335" s="43">
        <v>1262100</v>
      </c>
      <c r="T335" s="44">
        <f t="shared" si="30"/>
        <v>675</v>
      </c>
      <c r="U335" s="44">
        <f t="shared" si="30"/>
        <v>256109400</v>
      </c>
      <c r="V335" s="45">
        <f t="shared" si="31"/>
        <v>0.77638071855230617</v>
      </c>
      <c r="W335" s="44">
        <f t="shared" si="32"/>
        <v>599</v>
      </c>
      <c r="X335" s="44">
        <f t="shared" si="33"/>
        <v>200100500</v>
      </c>
      <c r="Y335" s="43">
        <f t="shared" si="34"/>
        <v>331950.58430717862</v>
      </c>
      <c r="Z335" s="45">
        <f t="shared" si="35"/>
        <v>4.9279721868857604E-3</v>
      </c>
    </row>
    <row r="336" spans="1:26">
      <c r="A336" s="42" t="s">
        <v>736</v>
      </c>
      <c r="B336" s="42" t="s">
        <v>737</v>
      </c>
      <c r="C336" s="42" t="s">
        <v>19</v>
      </c>
      <c r="D336" s="43">
        <v>56</v>
      </c>
      <c r="E336" s="43">
        <v>10976600</v>
      </c>
      <c r="F336" s="43">
        <v>2006</v>
      </c>
      <c r="G336" s="43">
        <v>1088054500</v>
      </c>
      <c r="H336" s="43"/>
      <c r="I336" s="43"/>
      <c r="J336" s="43"/>
      <c r="K336" s="43"/>
      <c r="L336" s="43">
        <v>63</v>
      </c>
      <c r="M336" s="43">
        <v>37360200</v>
      </c>
      <c r="N336" s="43">
        <v>63</v>
      </c>
      <c r="O336" s="43">
        <v>37360200</v>
      </c>
      <c r="P336" s="43"/>
      <c r="Q336" s="43"/>
      <c r="R336" s="43"/>
      <c r="S336" s="43"/>
      <c r="T336" s="44">
        <f t="shared" si="30"/>
        <v>2125</v>
      </c>
      <c r="U336" s="44">
        <f t="shared" si="30"/>
        <v>1136391300</v>
      </c>
      <c r="V336" s="45">
        <f t="shared" si="31"/>
        <v>0.9574646514805244</v>
      </c>
      <c r="W336" s="44">
        <f t="shared" si="32"/>
        <v>2006</v>
      </c>
      <c r="X336" s="44">
        <f t="shared" si="33"/>
        <v>1088054500</v>
      </c>
      <c r="Y336" s="43">
        <f t="shared" si="34"/>
        <v>542400.04985044862</v>
      </c>
      <c r="Z336" s="45">
        <f t="shared" si="35"/>
        <v>0</v>
      </c>
    </row>
    <row r="337" spans="1:26">
      <c r="A337" s="42" t="s">
        <v>738</v>
      </c>
      <c r="B337" s="42" t="s">
        <v>739</v>
      </c>
      <c r="C337" s="42" t="s">
        <v>19</v>
      </c>
      <c r="D337" s="43">
        <v>25</v>
      </c>
      <c r="E337" s="43">
        <v>2129800</v>
      </c>
      <c r="F337" s="43">
        <v>351</v>
      </c>
      <c r="G337" s="43">
        <v>110554200</v>
      </c>
      <c r="H337" s="43">
        <v>1</v>
      </c>
      <c r="I337" s="43">
        <v>721700</v>
      </c>
      <c r="J337" s="43">
        <v>1</v>
      </c>
      <c r="K337" s="43">
        <v>14200</v>
      </c>
      <c r="L337" s="43">
        <v>43</v>
      </c>
      <c r="M337" s="43">
        <v>36561500</v>
      </c>
      <c r="N337" s="43">
        <v>36</v>
      </c>
      <c r="O337" s="43">
        <v>19871300</v>
      </c>
      <c r="P337" s="43">
        <v>3</v>
      </c>
      <c r="Q337" s="43">
        <v>2742800</v>
      </c>
      <c r="R337" s="43">
        <v>4</v>
      </c>
      <c r="S337" s="43">
        <v>13947400</v>
      </c>
      <c r="T337" s="44">
        <f t="shared" si="30"/>
        <v>421</v>
      </c>
      <c r="U337" s="44">
        <f t="shared" si="30"/>
        <v>149981400</v>
      </c>
      <c r="V337" s="45">
        <f t="shared" si="31"/>
        <v>0.7419313328186028</v>
      </c>
      <c r="W337" s="44">
        <f t="shared" si="32"/>
        <v>352</v>
      </c>
      <c r="X337" s="44">
        <f t="shared" si="33"/>
        <v>125223300</v>
      </c>
      <c r="Y337" s="43">
        <f t="shared" si="34"/>
        <v>316124.71590909088</v>
      </c>
      <c r="Z337" s="45">
        <f t="shared" si="35"/>
        <v>9.2994197947212115E-2</v>
      </c>
    </row>
    <row r="338" spans="1:26">
      <c r="A338" s="42" t="s">
        <v>740</v>
      </c>
      <c r="B338" s="42" t="s">
        <v>741</v>
      </c>
      <c r="C338" s="42" t="s">
        <v>19</v>
      </c>
      <c r="D338" s="43">
        <v>84</v>
      </c>
      <c r="E338" s="43">
        <v>11815100</v>
      </c>
      <c r="F338" s="43">
        <v>2944</v>
      </c>
      <c r="G338" s="43">
        <v>763101500</v>
      </c>
      <c r="H338" s="43"/>
      <c r="I338" s="43"/>
      <c r="J338" s="43"/>
      <c r="K338" s="43"/>
      <c r="L338" s="43">
        <v>276</v>
      </c>
      <c r="M338" s="43">
        <v>294762400</v>
      </c>
      <c r="N338" s="43">
        <v>261</v>
      </c>
      <c r="O338" s="43">
        <v>237093900</v>
      </c>
      <c r="P338" s="43">
        <v>3</v>
      </c>
      <c r="Q338" s="43">
        <v>34727100</v>
      </c>
      <c r="R338" s="43">
        <v>12</v>
      </c>
      <c r="S338" s="43">
        <v>22941400</v>
      </c>
      <c r="T338" s="44">
        <f t="shared" si="30"/>
        <v>3304</v>
      </c>
      <c r="U338" s="44">
        <f t="shared" si="30"/>
        <v>1069679000</v>
      </c>
      <c r="V338" s="45">
        <f t="shared" si="31"/>
        <v>0.71339298985957467</v>
      </c>
      <c r="W338" s="44">
        <f t="shared" si="32"/>
        <v>2944</v>
      </c>
      <c r="X338" s="44">
        <f t="shared" si="33"/>
        <v>786042900</v>
      </c>
      <c r="Y338" s="43">
        <f t="shared" si="34"/>
        <v>259205.67255434784</v>
      </c>
      <c r="Z338" s="45">
        <f t="shared" si="35"/>
        <v>2.1446994846117385E-2</v>
      </c>
    </row>
    <row r="339" spans="1:26">
      <c r="A339" s="42" t="s">
        <v>742</v>
      </c>
      <c r="B339" s="42" t="s">
        <v>743</v>
      </c>
      <c r="C339" s="42" t="s">
        <v>19</v>
      </c>
      <c r="D339" s="43">
        <v>525</v>
      </c>
      <c r="E339" s="43">
        <v>43886000</v>
      </c>
      <c r="F339" s="43">
        <v>11269</v>
      </c>
      <c r="G339" s="43">
        <v>2245621400</v>
      </c>
      <c r="H339" s="43">
        <v>82</v>
      </c>
      <c r="I339" s="43">
        <v>14932600</v>
      </c>
      <c r="J339" s="43">
        <v>175</v>
      </c>
      <c r="K339" s="43">
        <v>1700500</v>
      </c>
      <c r="L339" s="43">
        <v>391</v>
      </c>
      <c r="M339" s="43">
        <v>749260400</v>
      </c>
      <c r="N339" s="43">
        <v>361</v>
      </c>
      <c r="O339" s="43">
        <v>644466200</v>
      </c>
      <c r="P339" s="43">
        <v>28</v>
      </c>
      <c r="Q339" s="43">
        <v>74628300</v>
      </c>
      <c r="R339" s="43">
        <v>2</v>
      </c>
      <c r="S339" s="43">
        <v>30165900</v>
      </c>
      <c r="T339" s="44">
        <f t="shared" si="30"/>
        <v>12442</v>
      </c>
      <c r="U339" s="44">
        <f t="shared" si="30"/>
        <v>3055400900</v>
      </c>
      <c r="V339" s="45">
        <f t="shared" si="31"/>
        <v>0.73985512015788168</v>
      </c>
      <c r="W339" s="44">
        <f t="shared" si="32"/>
        <v>11351</v>
      </c>
      <c r="X339" s="44">
        <f t="shared" si="33"/>
        <v>2290719900</v>
      </c>
      <c r="Y339" s="43">
        <f t="shared" si="34"/>
        <v>199150.2070302176</v>
      </c>
      <c r="Z339" s="45">
        <f t="shared" si="35"/>
        <v>9.8729760798329288E-3</v>
      </c>
    </row>
    <row r="340" spans="1:26">
      <c r="A340" s="42" t="s">
        <v>744</v>
      </c>
      <c r="B340" s="42" t="s">
        <v>745</v>
      </c>
      <c r="C340" s="42" t="s">
        <v>19</v>
      </c>
      <c r="D340" s="43">
        <v>149</v>
      </c>
      <c r="E340" s="43">
        <v>5921900</v>
      </c>
      <c r="F340" s="43">
        <v>2262</v>
      </c>
      <c r="G340" s="43">
        <v>484293700</v>
      </c>
      <c r="H340" s="43"/>
      <c r="I340" s="43"/>
      <c r="J340" s="43"/>
      <c r="K340" s="43"/>
      <c r="L340" s="43">
        <v>108</v>
      </c>
      <c r="M340" s="43">
        <v>51580500</v>
      </c>
      <c r="N340" s="43">
        <v>99</v>
      </c>
      <c r="O340" s="43">
        <v>46798200</v>
      </c>
      <c r="P340" s="43"/>
      <c r="Q340" s="43"/>
      <c r="R340" s="43">
        <v>9</v>
      </c>
      <c r="S340" s="43">
        <v>4782300</v>
      </c>
      <c r="T340" s="44">
        <f t="shared" si="30"/>
        <v>2519</v>
      </c>
      <c r="U340" s="44">
        <f t="shared" si="30"/>
        <v>541796100</v>
      </c>
      <c r="V340" s="45">
        <f t="shared" si="31"/>
        <v>0.89386708394541781</v>
      </c>
      <c r="W340" s="44">
        <f t="shared" si="32"/>
        <v>2262</v>
      </c>
      <c r="X340" s="44">
        <f t="shared" si="33"/>
        <v>489076000</v>
      </c>
      <c r="Y340" s="43">
        <f t="shared" si="34"/>
        <v>214099.77895667549</v>
      </c>
      <c r="Z340" s="45">
        <f t="shared" si="35"/>
        <v>8.8267523520379719E-3</v>
      </c>
    </row>
    <row r="341" spans="1:26">
      <c r="A341" s="42" t="s">
        <v>746</v>
      </c>
      <c r="B341" s="42" t="s">
        <v>747</v>
      </c>
      <c r="C341" s="42" t="s">
        <v>19</v>
      </c>
      <c r="D341" s="43">
        <v>162</v>
      </c>
      <c r="E341" s="43">
        <v>60436400</v>
      </c>
      <c r="F341" s="43">
        <v>5434</v>
      </c>
      <c r="G341" s="43">
        <v>4002513000</v>
      </c>
      <c r="H341" s="43">
        <v>32</v>
      </c>
      <c r="I341" s="43">
        <v>19650400</v>
      </c>
      <c r="J341" s="43">
        <v>66</v>
      </c>
      <c r="K341" s="43">
        <v>1056800</v>
      </c>
      <c r="L341" s="43">
        <v>214</v>
      </c>
      <c r="M341" s="43">
        <v>487022400</v>
      </c>
      <c r="N341" s="43">
        <v>204</v>
      </c>
      <c r="O341" s="43">
        <v>388531700</v>
      </c>
      <c r="P341" s="43">
        <v>7</v>
      </c>
      <c r="Q341" s="43">
        <v>89671500</v>
      </c>
      <c r="R341" s="43">
        <v>3</v>
      </c>
      <c r="S341" s="43">
        <v>8819200</v>
      </c>
      <c r="T341" s="44">
        <f t="shared" si="30"/>
        <v>5908</v>
      </c>
      <c r="U341" s="44">
        <f t="shared" si="30"/>
        <v>4570679000</v>
      </c>
      <c r="V341" s="45">
        <f t="shared" si="31"/>
        <v>0.87999253502597752</v>
      </c>
      <c r="W341" s="44">
        <f t="shared" si="32"/>
        <v>5466</v>
      </c>
      <c r="X341" s="44">
        <f t="shared" si="33"/>
        <v>4030982600</v>
      </c>
      <c r="Y341" s="43">
        <f t="shared" si="34"/>
        <v>735851.33552872296</v>
      </c>
      <c r="Z341" s="45">
        <f t="shared" si="35"/>
        <v>1.9295163803889968E-3</v>
      </c>
    </row>
    <row r="342" spans="1:26">
      <c r="A342" s="42" t="s">
        <v>748</v>
      </c>
      <c r="B342" s="42" t="s">
        <v>749</v>
      </c>
      <c r="C342" s="42" t="s">
        <v>19</v>
      </c>
      <c r="D342" s="43">
        <v>4127</v>
      </c>
      <c r="E342" s="43">
        <v>264011700</v>
      </c>
      <c r="F342" s="43">
        <v>16228</v>
      </c>
      <c r="G342" s="43">
        <v>5707045800</v>
      </c>
      <c r="H342" s="43">
        <v>280</v>
      </c>
      <c r="I342" s="43">
        <v>107499400</v>
      </c>
      <c r="J342" s="43">
        <v>400</v>
      </c>
      <c r="K342" s="43">
        <v>2543100</v>
      </c>
      <c r="L342" s="43">
        <v>506</v>
      </c>
      <c r="M342" s="43">
        <v>779505000</v>
      </c>
      <c r="N342" s="43">
        <v>440</v>
      </c>
      <c r="O342" s="43">
        <v>667961100</v>
      </c>
      <c r="P342" s="43">
        <v>66</v>
      </c>
      <c r="Q342" s="43">
        <v>111543900</v>
      </c>
      <c r="R342" s="43"/>
      <c r="S342" s="43"/>
      <c r="T342" s="44">
        <f t="shared" si="30"/>
        <v>21541</v>
      </c>
      <c r="U342" s="44">
        <f t="shared" si="30"/>
        <v>6860605000</v>
      </c>
      <c r="V342" s="45">
        <f t="shared" si="31"/>
        <v>0.84752659568653199</v>
      </c>
      <c r="W342" s="44">
        <f t="shared" si="32"/>
        <v>16508</v>
      </c>
      <c r="X342" s="44">
        <f t="shared" si="33"/>
        <v>5814545200</v>
      </c>
      <c r="Y342" s="43">
        <f t="shared" si="34"/>
        <v>352225.90259268234</v>
      </c>
      <c r="Z342" s="45">
        <f t="shared" si="35"/>
        <v>0</v>
      </c>
    </row>
    <row r="343" spans="1:26">
      <c r="A343" s="42" t="s">
        <v>750</v>
      </c>
      <c r="B343" s="42" t="s">
        <v>751</v>
      </c>
      <c r="C343" s="42" t="s">
        <v>19</v>
      </c>
      <c r="D343" s="43">
        <v>12</v>
      </c>
      <c r="E343" s="43">
        <v>1504900</v>
      </c>
      <c r="F343" s="43">
        <v>395</v>
      </c>
      <c r="G343" s="43">
        <v>197265700</v>
      </c>
      <c r="H343" s="43"/>
      <c r="I343" s="43"/>
      <c r="J343" s="43"/>
      <c r="K343" s="43"/>
      <c r="L343" s="43"/>
      <c r="M343" s="43"/>
      <c r="N343" s="43"/>
      <c r="O343" s="43"/>
      <c r="P343" s="43"/>
      <c r="Q343" s="43"/>
      <c r="R343" s="43"/>
      <c r="S343" s="43"/>
      <c r="T343" s="44">
        <f t="shared" si="30"/>
        <v>407</v>
      </c>
      <c r="U343" s="44">
        <f t="shared" si="30"/>
        <v>198770600</v>
      </c>
      <c r="V343" s="45">
        <f t="shared" si="31"/>
        <v>0.99242896082217391</v>
      </c>
      <c r="W343" s="44">
        <f t="shared" si="32"/>
        <v>395</v>
      </c>
      <c r="X343" s="44">
        <f t="shared" si="33"/>
        <v>197265700</v>
      </c>
      <c r="Y343" s="43">
        <f t="shared" si="34"/>
        <v>499406.83544303797</v>
      </c>
      <c r="Z343" s="45">
        <f t="shared" si="35"/>
        <v>0</v>
      </c>
    </row>
    <row r="344" spans="1:26">
      <c r="A344" s="42" t="s">
        <v>752</v>
      </c>
      <c r="B344" s="42" t="s">
        <v>753</v>
      </c>
      <c r="C344" s="42" t="s">
        <v>19</v>
      </c>
      <c r="D344" s="43">
        <v>97</v>
      </c>
      <c r="E344" s="43">
        <v>6036300</v>
      </c>
      <c r="F344" s="43">
        <v>3038</v>
      </c>
      <c r="G344" s="43">
        <v>669504500</v>
      </c>
      <c r="H344" s="43"/>
      <c r="I344" s="43"/>
      <c r="J344" s="43"/>
      <c r="K344" s="43"/>
      <c r="L344" s="43">
        <v>175</v>
      </c>
      <c r="M344" s="43">
        <v>99280000</v>
      </c>
      <c r="N344" s="43">
        <v>127</v>
      </c>
      <c r="O344" s="43">
        <v>63593600</v>
      </c>
      <c r="P344" s="43">
        <v>3</v>
      </c>
      <c r="Q344" s="43">
        <v>2850300</v>
      </c>
      <c r="R344" s="43">
        <v>45</v>
      </c>
      <c r="S344" s="43">
        <v>32836100</v>
      </c>
      <c r="T344" s="44">
        <f t="shared" si="30"/>
        <v>3310</v>
      </c>
      <c r="U344" s="44">
        <f t="shared" si="30"/>
        <v>774820800</v>
      </c>
      <c r="V344" s="45">
        <f t="shared" si="31"/>
        <v>0.86407657099551272</v>
      </c>
      <c r="W344" s="44">
        <f t="shared" si="32"/>
        <v>3038</v>
      </c>
      <c r="X344" s="44">
        <f t="shared" si="33"/>
        <v>702340600</v>
      </c>
      <c r="Y344" s="43">
        <f t="shared" si="34"/>
        <v>220376.72811059907</v>
      </c>
      <c r="Z344" s="45">
        <f t="shared" si="35"/>
        <v>4.2378960399617562E-2</v>
      </c>
    </row>
    <row r="345" spans="1:26">
      <c r="A345" s="42" t="s">
        <v>754</v>
      </c>
      <c r="B345" s="42" t="s">
        <v>755</v>
      </c>
      <c r="C345" s="42" t="s">
        <v>19</v>
      </c>
      <c r="D345" s="43">
        <v>134</v>
      </c>
      <c r="E345" s="43">
        <v>5318400</v>
      </c>
      <c r="F345" s="43">
        <v>1938</v>
      </c>
      <c r="G345" s="43">
        <v>238900050</v>
      </c>
      <c r="H345" s="43"/>
      <c r="I345" s="43"/>
      <c r="J345" s="43"/>
      <c r="K345" s="43"/>
      <c r="L345" s="43">
        <v>237</v>
      </c>
      <c r="M345" s="43">
        <v>83084700</v>
      </c>
      <c r="N345" s="43">
        <v>212</v>
      </c>
      <c r="O345" s="43">
        <v>62194500</v>
      </c>
      <c r="P345" s="43">
        <v>6</v>
      </c>
      <c r="Q345" s="43">
        <v>6218500</v>
      </c>
      <c r="R345" s="43">
        <v>19</v>
      </c>
      <c r="S345" s="43">
        <v>14671700</v>
      </c>
      <c r="T345" s="44">
        <f t="shared" si="30"/>
        <v>2309</v>
      </c>
      <c r="U345" s="44">
        <f t="shared" si="30"/>
        <v>327303150</v>
      </c>
      <c r="V345" s="45">
        <f t="shared" si="31"/>
        <v>0.72990452429192931</v>
      </c>
      <c r="W345" s="44">
        <f t="shared" si="32"/>
        <v>1938</v>
      </c>
      <c r="X345" s="44">
        <f t="shared" si="33"/>
        <v>253571750</v>
      </c>
      <c r="Y345" s="43">
        <f t="shared" si="34"/>
        <v>123271.43962848297</v>
      </c>
      <c r="Z345" s="45">
        <f t="shared" si="35"/>
        <v>4.4826027491638866E-2</v>
      </c>
    </row>
    <row r="346" spans="1:26">
      <c r="A346" s="42" t="s">
        <v>756</v>
      </c>
      <c r="B346" s="42" t="s">
        <v>757</v>
      </c>
      <c r="C346" s="42" t="s">
        <v>19</v>
      </c>
      <c r="D346" s="43">
        <v>103</v>
      </c>
      <c r="E346" s="43">
        <v>15409600</v>
      </c>
      <c r="F346" s="43">
        <v>2269</v>
      </c>
      <c r="G346" s="43">
        <v>1149913900</v>
      </c>
      <c r="H346" s="43">
        <v>2</v>
      </c>
      <c r="I346" s="43">
        <v>3376500</v>
      </c>
      <c r="J346" s="43">
        <v>3</v>
      </c>
      <c r="K346" s="43">
        <v>15800</v>
      </c>
      <c r="L346" s="43">
        <v>144</v>
      </c>
      <c r="M346" s="43">
        <v>83930100</v>
      </c>
      <c r="N346" s="43">
        <v>144</v>
      </c>
      <c r="O346" s="43">
        <v>83930100</v>
      </c>
      <c r="P346" s="43"/>
      <c r="Q346" s="43"/>
      <c r="R346" s="43"/>
      <c r="S346" s="43"/>
      <c r="T346" s="44">
        <f t="shared" si="30"/>
        <v>2521</v>
      </c>
      <c r="U346" s="44">
        <f t="shared" si="30"/>
        <v>1252645900</v>
      </c>
      <c r="V346" s="45">
        <f t="shared" si="31"/>
        <v>0.92068349084126644</v>
      </c>
      <c r="W346" s="44">
        <f t="shared" si="32"/>
        <v>2271</v>
      </c>
      <c r="X346" s="44">
        <f t="shared" si="33"/>
        <v>1153290400</v>
      </c>
      <c r="Y346" s="43">
        <f t="shared" si="34"/>
        <v>507833.72963452223</v>
      </c>
      <c r="Z346" s="45">
        <f t="shared" si="35"/>
        <v>0</v>
      </c>
    </row>
    <row r="347" spans="1:26">
      <c r="A347" s="42" t="s">
        <v>758</v>
      </c>
      <c r="B347" s="42" t="s">
        <v>759</v>
      </c>
      <c r="C347" s="42" t="s">
        <v>19</v>
      </c>
      <c r="D347" s="43">
        <v>5</v>
      </c>
      <c r="E347" s="43">
        <v>3823600</v>
      </c>
      <c r="F347" s="43">
        <v>135</v>
      </c>
      <c r="G347" s="43">
        <v>191110900</v>
      </c>
      <c r="H347" s="43"/>
      <c r="I347" s="43"/>
      <c r="J347" s="43"/>
      <c r="K347" s="43"/>
      <c r="L347" s="43">
        <v>7</v>
      </c>
      <c r="M347" s="43">
        <v>9861800</v>
      </c>
      <c r="N347" s="43">
        <v>6</v>
      </c>
      <c r="O347" s="43">
        <v>9058600</v>
      </c>
      <c r="P347" s="43"/>
      <c r="Q347" s="43"/>
      <c r="R347" s="43">
        <v>1</v>
      </c>
      <c r="S347" s="43">
        <v>803200</v>
      </c>
      <c r="T347" s="44">
        <f t="shared" si="30"/>
        <v>147</v>
      </c>
      <c r="U347" s="44">
        <f t="shared" si="30"/>
        <v>204796300</v>
      </c>
      <c r="V347" s="45">
        <f t="shared" si="31"/>
        <v>0.93317555053484857</v>
      </c>
      <c r="W347" s="44">
        <f t="shared" si="32"/>
        <v>135</v>
      </c>
      <c r="X347" s="44">
        <f t="shared" si="33"/>
        <v>191914100</v>
      </c>
      <c r="Y347" s="43">
        <f t="shared" si="34"/>
        <v>1415636.2962962964</v>
      </c>
      <c r="Z347" s="45">
        <f t="shared" si="35"/>
        <v>3.9219458554671151E-3</v>
      </c>
    </row>
    <row r="348" spans="1:26">
      <c r="A348" s="42" t="s">
        <v>760</v>
      </c>
      <c r="B348" s="42" t="s">
        <v>761</v>
      </c>
      <c r="C348" s="42" t="s">
        <v>19</v>
      </c>
      <c r="D348" s="43">
        <v>524</v>
      </c>
      <c r="E348" s="43">
        <v>180981900</v>
      </c>
      <c r="F348" s="43">
        <v>8298</v>
      </c>
      <c r="G348" s="43">
        <v>4009946400</v>
      </c>
      <c r="H348" s="43">
        <v>1</v>
      </c>
      <c r="I348" s="43">
        <v>3494000</v>
      </c>
      <c r="J348" s="43">
        <v>1</v>
      </c>
      <c r="K348" s="43">
        <v>4500</v>
      </c>
      <c r="L348" s="43">
        <v>656</v>
      </c>
      <c r="M348" s="43">
        <v>879324220</v>
      </c>
      <c r="N348" s="43">
        <v>503</v>
      </c>
      <c r="O348" s="43">
        <v>519542420</v>
      </c>
      <c r="P348" s="43">
        <v>6</v>
      </c>
      <c r="Q348" s="43">
        <v>12197100</v>
      </c>
      <c r="R348" s="43">
        <v>147</v>
      </c>
      <c r="S348" s="43">
        <v>347584700</v>
      </c>
      <c r="T348" s="44">
        <f t="shared" si="30"/>
        <v>9480</v>
      </c>
      <c r="U348" s="44">
        <f t="shared" si="30"/>
        <v>5073751020</v>
      </c>
      <c r="V348" s="45">
        <f t="shared" si="31"/>
        <v>0.79102036820088184</v>
      </c>
      <c r="W348" s="44">
        <f t="shared" si="32"/>
        <v>8299</v>
      </c>
      <c r="X348" s="44">
        <f t="shared" si="33"/>
        <v>4361025100</v>
      </c>
      <c r="Y348" s="43">
        <f t="shared" si="34"/>
        <v>483605.30184359563</v>
      </c>
      <c r="Z348" s="45">
        <f t="shared" si="35"/>
        <v>6.8506455801609273E-2</v>
      </c>
    </row>
    <row r="349" spans="1:26">
      <c r="A349" s="42" t="s">
        <v>762</v>
      </c>
      <c r="B349" s="42" t="s">
        <v>763</v>
      </c>
      <c r="C349" s="42" t="s">
        <v>19</v>
      </c>
      <c r="D349" s="43">
        <v>1553</v>
      </c>
      <c r="E349" s="43">
        <v>200478700</v>
      </c>
      <c r="F349" s="43">
        <v>13111</v>
      </c>
      <c r="G349" s="43">
        <v>5658484200</v>
      </c>
      <c r="H349" s="43">
        <v>99</v>
      </c>
      <c r="I349" s="43">
        <v>36779500</v>
      </c>
      <c r="J349" s="43">
        <v>187</v>
      </c>
      <c r="K349" s="43">
        <v>2315700</v>
      </c>
      <c r="L349" s="43">
        <v>346</v>
      </c>
      <c r="M349" s="43">
        <v>427712800</v>
      </c>
      <c r="N349" s="43">
        <v>337</v>
      </c>
      <c r="O349" s="43">
        <v>403109300</v>
      </c>
      <c r="P349" s="43">
        <v>9</v>
      </c>
      <c r="Q349" s="43">
        <v>24603500</v>
      </c>
      <c r="R349" s="43"/>
      <c r="S349" s="43"/>
      <c r="T349" s="44">
        <f t="shared" si="30"/>
        <v>15296</v>
      </c>
      <c r="U349" s="44">
        <f t="shared" si="30"/>
        <v>6325770900</v>
      </c>
      <c r="V349" s="45">
        <f t="shared" si="31"/>
        <v>0.90032721545448313</v>
      </c>
      <c r="W349" s="44">
        <f t="shared" si="32"/>
        <v>13210</v>
      </c>
      <c r="X349" s="44">
        <f t="shared" si="33"/>
        <v>5695263700</v>
      </c>
      <c r="Y349" s="43">
        <f t="shared" si="34"/>
        <v>431132.75548826647</v>
      </c>
      <c r="Z349" s="45">
        <f t="shared" si="35"/>
        <v>0</v>
      </c>
    </row>
    <row r="350" spans="1:26">
      <c r="A350" s="42" t="s">
        <v>764</v>
      </c>
      <c r="B350" s="42" t="s">
        <v>765</v>
      </c>
      <c r="C350" s="42" t="s">
        <v>19</v>
      </c>
      <c r="D350" s="43">
        <v>121</v>
      </c>
      <c r="E350" s="43">
        <v>23854600</v>
      </c>
      <c r="F350" s="43">
        <v>2847</v>
      </c>
      <c r="G350" s="43">
        <v>1407843800</v>
      </c>
      <c r="H350" s="43"/>
      <c r="I350" s="43"/>
      <c r="J350" s="43"/>
      <c r="K350" s="43"/>
      <c r="L350" s="43">
        <v>207</v>
      </c>
      <c r="M350" s="43">
        <v>145385000</v>
      </c>
      <c r="N350" s="43">
        <v>186</v>
      </c>
      <c r="O350" s="43">
        <v>128542700</v>
      </c>
      <c r="P350" s="43">
        <v>13</v>
      </c>
      <c r="Q350" s="43">
        <v>8349900</v>
      </c>
      <c r="R350" s="43">
        <v>8</v>
      </c>
      <c r="S350" s="43">
        <v>8492400</v>
      </c>
      <c r="T350" s="44">
        <f t="shared" si="30"/>
        <v>3175</v>
      </c>
      <c r="U350" s="44">
        <f t="shared" si="30"/>
        <v>1577083400</v>
      </c>
      <c r="V350" s="45">
        <f t="shared" si="31"/>
        <v>0.89268823703299394</v>
      </c>
      <c r="W350" s="44">
        <f t="shared" si="32"/>
        <v>2847</v>
      </c>
      <c r="X350" s="44">
        <f t="shared" si="33"/>
        <v>1416336200</v>
      </c>
      <c r="Y350" s="43">
        <f t="shared" si="34"/>
        <v>494500.80786793114</v>
      </c>
      <c r="Z350" s="45">
        <f t="shared" si="35"/>
        <v>5.3848769190012399E-3</v>
      </c>
    </row>
    <row r="351" spans="1:26">
      <c r="A351" s="42" t="s">
        <v>766</v>
      </c>
      <c r="B351" s="42" t="s">
        <v>767</v>
      </c>
      <c r="C351" s="42" t="s">
        <v>19</v>
      </c>
      <c r="D351" s="43">
        <v>821</v>
      </c>
      <c r="E351" s="43">
        <v>49225500</v>
      </c>
      <c r="F351" s="43">
        <v>12804</v>
      </c>
      <c r="G351" s="43">
        <v>2869073200</v>
      </c>
      <c r="H351" s="43">
        <v>83</v>
      </c>
      <c r="I351" s="43">
        <v>16223300</v>
      </c>
      <c r="J351" s="43">
        <v>150</v>
      </c>
      <c r="K351" s="43">
        <v>770350</v>
      </c>
      <c r="L351" s="43">
        <v>263</v>
      </c>
      <c r="M351" s="43">
        <v>218560400</v>
      </c>
      <c r="N351" s="43">
        <v>233</v>
      </c>
      <c r="O351" s="43">
        <v>176080600</v>
      </c>
      <c r="P351" s="43">
        <v>27</v>
      </c>
      <c r="Q351" s="43">
        <v>39136700</v>
      </c>
      <c r="R351" s="43">
        <v>3</v>
      </c>
      <c r="S351" s="43">
        <v>3343100</v>
      </c>
      <c r="T351" s="44">
        <f t="shared" si="30"/>
        <v>14121</v>
      </c>
      <c r="U351" s="44">
        <f t="shared" si="30"/>
        <v>3153852750</v>
      </c>
      <c r="V351" s="45">
        <f t="shared" si="31"/>
        <v>0.91484819638456483</v>
      </c>
      <c r="W351" s="44">
        <f t="shared" si="32"/>
        <v>12887</v>
      </c>
      <c r="X351" s="44">
        <f t="shared" si="33"/>
        <v>2888639600</v>
      </c>
      <c r="Y351" s="43">
        <f t="shared" si="34"/>
        <v>223892.02296888336</v>
      </c>
      <c r="Z351" s="45">
        <f t="shared" si="35"/>
        <v>1.0600051001112844E-3</v>
      </c>
    </row>
    <row r="352" spans="1:26">
      <c r="A352" s="42" t="s">
        <v>768</v>
      </c>
      <c r="B352" s="42" t="s">
        <v>769</v>
      </c>
      <c r="C352" s="42" t="s">
        <v>19</v>
      </c>
      <c r="D352" s="43">
        <v>117</v>
      </c>
      <c r="E352" s="43">
        <v>8867500</v>
      </c>
      <c r="F352" s="43">
        <v>2315</v>
      </c>
      <c r="G352" s="43">
        <v>803708700</v>
      </c>
      <c r="H352" s="43"/>
      <c r="I352" s="43"/>
      <c r="J352" s="43"/>
      <c r="K352" s="43"/>
      <c r="L352" s="43">
        <v>161</v>
      </c>
      <c r="M352" s="43">
        <v>221637700</v>
      </c>
      <c r="N352" s="43">
        <v>136</v>
      </c>
      <c r="O352" s="43">
        <v>132252700</v>
      </c>
      <c r="P352" s="43">
        <v>9</v>
      </c>
      <c r="Q352" s="43">
        <v>9729100</v>
      </c>
      <c r="R352" s="43">
        <v>16</v>
      </c>
      <c r="S352" s="43">
        <v>79655900</v>
      </c>
      <c r="T352" s="44">
        <f t="shared" si="30"/>
        <v>2593</v>
      </c>
      <c r="U352" s="44">
        <f t="shared" si="30"/>
        <v>1034213900</v>
      </c>
      <c r="V352" s="45">
        <f t="shared" si="31"/>
        <v>0.77712038099661973</v>
      </c>
      <c r="W352" s="44">
        <f t="shared" si="32"/>
        <v>2315</v>
      </c>
      <c r="X352" s="44">
        <f t="shared" si="33"/>
        <v>883364600</v>
      </c>
      <c r="Y352" s="43">
        <f t="shared" si="34"/>
        <v>347174.38444924407</v>
      </c>
      <c r="Z352" s="45">
        <f t="shared" si="35"/>
        <v>7.7020720761923622E-2</v>
      </c>
    </row>
    <row r="353" spans="1:26">
      <c r="A353" s="42" t="s">
        <v>770</v>
      </c>
      <c r="B353" s="42" t="s">
        <v>771</v>
      </c>
      <c r="C353" s="42" t="s">
        <v>19</v>
      </c>
      <c r="D353" s="43">
        <v>454</v>
      </c>
      <c r="E353" s="43">
        <v>14636030</v>
      </c>
      <c r="F353" s="43">
        <v>6136</v>
      </c>
      <c r="G353" s="43">
        <v>713846480</v>
      </c>
      <c r="H353" s="43">
        <v>4</v>
      </c>
      <c r="I353" s="43">
        <v>706700</v>
      </c>
      <c r="J353" s="43">
        <v>12</v>
      </c>
      <c r="K353" s="43">
        <v>89500</v>
      </c>
      <c r="L353" s="43">
        <v>190</v>
      </c>
      <c r="M353" s="43">
        <v>113636600</v>
      </c>
      <c r="N353" s="43">
        <v>179</v>
      </c>
      <c r="O353" s="43">
        <v>86394000</v>
      </c>
      <c r="P353" s="43">
        <v>4</v>
      </c>
      <c r="Q353" s="43">
        <v>11849700</v>
      </c>
      <c r="R353" s="43">
        <v>7</v>
      </c>
      <c r="S353" s="43">
        <v>15392900</v>
      </c>
      <c r="T353" s="44">
        <f t="shared" si="30"/>
        <v>6796</v>
      </c>
      <c r="U353" s="44">
        <f t="shared" si="30"/>
        <v>842915310</v>
      </c>
      <c r="V353" s="45">
        <f t="shared" si="31"/>
        <v>0.84771645682885988</v>
      </c>
      <c r="W353" s="44">
        <f t="shared" si="32"/>
        <v>6140</v>
      </c>
      <c r="X353" s="44">
        <f t="shared" si="33"/>
        <v>729946080</v>
      </c>
      <c r="Y353" s="43">
        <f t="shared" si="34"/>
        <v>116376.73941368079</v>
      </c>
      <c r="Z353" s="45">
        <f t="shared" si="35"/>
        <v>1.8261502451533358E-2</v>
      </c>
    </row>
    <row r="354" spans="1:26">
      <c r="A354" s="42" t="s">
        <v>772</v>
      </c>
      <c r="B354" s="42" t="s">
        <v>773</v>
      </c>
      <c r="C354" s="42" t="s">
        <v>19</v>
      </c>
      <c r="D354" s="43">
        <v>1247</v>
      </c>
      <c r="E354" s="43">
        <v>47481660</v>
      </c>
      <c r="F354" s="43">
        <v>22017</v>
      </c>
      <c r="G354" s="43">
        <v>4232317778</v>
      </c>
      <c r="H354" s="43">
        <v>79</v>
      </c>
      <c r="I354" s="43">
        <v>48137000</v>
      </c>
      <c r="J354" s="43">
        <v>134</v>
      </c>
      <c r="K354" s="43">
        <v>466800</v>
      </c>
      <c r="L354" s="43">
        <v>615</v>
      </c>
      <c r="M354" s="43">
        <v>652907600</v>
      </c>
      <c r="N354" s="43">
        <v>600</v>
      </c>
      <c r="O354" s="43">
        <v>606184000</v>
      </c>
      <c r="P354" s="43">
        <v>2</v>
      </c>
      <c r="Q354" s="43">
        <v>1052500</v>
      </c>
      <c r="R354" s="43">
        <v>13</v>
      </c>
      <c r="S354" s="43">
        <v>45671100</v>
      </c>
      <c r="T354" s="44">
        <f t="shared" si="30"/>
        <v>24092</v>
      </c>
      <c r="U354" s="44">
        <f t="shared" si="30"/>
        <v>4981310838</v>
      </c>
      <c r="V354" s="45">
        <f t="shared" si="31"/>
        <v>0.85930288576783653</v>
      </c>
      <c r="W354" s="44">
        <f t="shared" si="32"/>
        <v>22096</v>
      </c>
      <c r="X354" s="44">
        <f t="shared" si="33"/>
        <v>4326125878</v>
      </c>
      <c r="Y354" s="43">
        <f t="shared" si="34"/>
        <v>193720.79914916726</v>
      </c>
      <c r="Z354" s="45">
        <f t="shared" si="35"/>
        <v>9.1684902800277732E-3</v>
      </c>
    </row>
    <row r="355" spans="1:26">
      <c r="A355" s="42" t="s">
        <v>774</v>
      </c>
      <c r="B355" s="42" t="s">
        <v>775</v>
      </c>
      <c r="C355" s="42" t="s">
        <v>19</v>
      </c>
      <c r="D355" s="43">
        <v>363</v>
      </c>
      <c r="E355" s="43">
        <v>39196900</v>
      </c>
      <c r="F355" s="43">
        <v>3006</v>
      </c>
      <c r="G355" s="43">
        <v>1226606600</v>
      </c>
      <c r="H355" s="43">
        <v>240</v>
      </c>
      <c r="I355" s="43">
        <v>71547300</v>
      </c>
      <c r="J355" s="43">
        <v>422</v>
      </c>
      <c r="K355" s="43">
        <v>4201200</v>
      </c>
      <c r="L355" s="43">
        <v>87</v>
      </c>
      <c r="M355" s="43">
        <v>53887800</v>
      </c>
      <c r="N355" s="43">
        <v>83</v>
      </c>
      <c r="O355" s="43">
        <v>49961900</v>
      </c>
      <c r="P355" s="43">
        <v>4</v>
      </c>
      <c r="Q355" s="43">
        <v>3925900</v>
      </c>
      <c r="R355" s="43"/>
      <c r="S355" s="43"/>
      <c r="T355" s="44">
        <f t="shared" si="30"/>
        <v>4118</v>
      </c>
      <c r="U355" s="44">
        <f t="shared" si="30"/>
        <v>1395439800</v>
      </c>
      <c r="V355" s="45">
        <f t="shared" si="31"/>
        <v>0.9302829831856595</v>
      </c>
      <c r="W355" s="44">
        <f t="shared" si="32"/>
        <v>3246</v>
      </c>
      <c r="X355" s="44">
        <f t="shared" si="33"/>
        <v>1298153900</v>
      </c>
      <c r="Y355" s="43">
        <f t="shared" si="34"/>
        <v>399924.18361059768</v>
      </c>
      <c r="Z355" s="45">
        <f t="shared" si="35"/>
        <v>0</v>
      </c>
    </row>
    <row r="356" spans="1:26">
      <c r="A356" s="42" t="s">
        <v>776</v>
      </c>
      <c r="B356" s="42" t="s">
        <v>777</v>
      </c>
      <c r="C356" s="42" t="s">
        <v>19</v>
      </c>
      <c r="D356" s="43">
        <v>85</v>
      </c>
      <c r="E356" s="43">
        <v>15067300</v>
      </c>
      <c r="F356" s="43">
        <v>1994</v>
      </c>
      <c r="G356" s="43">
        <v>1201782600</v>
      </c>
      <c r="H356" s="43"/>
      <c r="I356" s="43"/>
      <c r="J356" s="43"/>
      <c r="K356" s="43"/>
      <c r="L356" s="43">
        <v>34</v>
      </c>
      <c r="M356" s="43">
        <v>30475500</v>
      </c>
      <c r="N356" s="43">
        <v>34</v>
      </c>
      <c r="O356" s="43">
        <v>30475500</v>
      </c>
      <c r="P356" s="43"/>
      <c r="Q356" s="43"/>
      <c r="R356" s="43"/>
      <c r="S356" s="43"/>
      <c r="T356" s="44">
        <f t="shared" si="30"/>
        <v>2113</v>
      </c>
      <c r="U356" s="44">
        <f t="shared" si="30"/>
        <v>1247325400</v>
      </c>
      <c r="V356" s="45">
        <f t="shared" si="31"/>
        <v>0.96348763522333469</v>
      </c>
      <c r="W356" s="44">
        <f t="shared" si="32"/>
        <v>1994</v>
      </c>
      <c r="X356" s="44">
        <f t="shared" si="33"/>
        <v>1201782600</v>
      </c>
      <c r="Y356" s="43">
        <f t="shared" si="34"/>
        <v>602699.39819458371</v>
      </c>
      <c r="Z356" s="45">
        <f t="shared" si="35"/>
        <v>0</v>
      </c>
    </row>
    <row r="357" spans="1:26">
      <c r="A357" s="42" t="s">
        <v>778</v>
      </c>
      <c r="B357" s="42" t="s">
        <v>779</v>
      </c>
      <c r="C357" s="42" t="s">
        <v>19</v>
      </c>
      <c r="D357" s="43">
        <v>377</v>
      </c>
      <c r="E357" s="43">
        <v>34046000</v>
      </c>
      <c r="F357" s="43">
        <v>9632</v>
      </c>
      <c r="G357" s="43">
        <v>2318015700</v>
      </c>
      <c r="H357" s="43">
        <v>2</v>
      </c>
      <c r="I357" s="43">
        <v>601000</v>
      </c>
      <c r="J357" s="43">
        <v>3</v>
      </c>
      <c r="K357" s="43">
        <v>16100</v>
      </c>
      <c r="L357" s="43">
        <v>555</v>
      </c>
      <c r="M357" s="43">
        <v>569580100</v>
      </c>
      <c r="N357" s="43">
        <v>421</v>
      </c>
      <c r="O357" s="43">
        <v>410952900</v>
      </c>
      <c r="P357" s="43">
        <v>60</v>
      </c>
      <c r="Q357" s="43">
        <v>67131700</v>
      </c>
      <c r="R357" s="43">
        <v>74</v>
      </c>
      <c r="S357" s="43">
        <v>91495500</v>
      </c>
      <c r="T357" s="44">
        <f t="shared" si="30"/>
        <v>10569</v>
      </c>
      <c r="U357" s="44">
        <f t="shared" si="30"/>
        <v>2922258900</v>
      </c>
      <c r="V357" s="45">
        <f t="shared" si="31"/>
        <v>0.79343301854602954</v>
      </c>
      <c r="W357" s="44">
        <f t="shared" si="32"/>
        <v>9634</v>
      </c>
      <c r="X357" s="44">
        <f t="shared" si="33"/>
        <v>2410112200</v>
      </c>
      <c r="Y357" s="43">
        <f t="shared" si="34"/>
        <v>240670.19929416649</v>
      </c>
      <c r="Z357" s="45">
        <f t="shared" si="35"/>
        <v>3.130985416795206E-2</v>
      </c>
    </row>
    <row r="358" spans="1:26">
      <c r="A358" s="42" t="s">
        <v>780</v>
      </c>
      <c r="B358" s="42" t="s">
        <v>781</v>
      </c>
      <c r="C358" s="42" t="s">
        <v>19</v>
      </c>
      <c r="D358" s="43">
        <v>65</v>
      </c>
      <c r="E358" s="43">
        <v>4003400</v>
      </c>
      <c r="F358" s="43">
        <v>1487</v>
      </c>
      <c r="G358" s="43">
        <v>312758500</v>
      </c>
      <c r="H358" s="43"/>
      <c r="I358" s="43"/>
      <c r="J358" s="43"/>
      <c r="K358" s="43"/>
      <c r="L358" s="43">
        <v>120</v>
      </c>
      <c r="M358" s="43">
        <v>117614300</v>
      </c>
      <c r="N358" s="43">
        <v>103</v>
      </c>
      <c r="O358" s="43">
        <v>77940700</v>
      </c>
      <c r="P358" s="43">
        <v>8</v>
      </c>
      <c r="Q358" s="43">
        <v>10480800</v>
      </c>
      <c r="R358" s="43">
        <v>9</v>
      </c>
      <c r="S358" s="43">
        <v>29192800</v>
      </c>
      <c r="T358" s="44">
        <f t="shared" si="30"/>
        <v>1672</v>
      </c>
      <c r="U358" s="44">
        <f t="shared" si="30"/>
        <v>434376200</v>
      </c>
      <c r="V358" s="45">
        <f t="shared" si="31"/>
        <v>0.72001757923201137</v>
      </c>
      <c r="W358" s="44">
        <f t="shared" si="32"/>
        <v>1487</v>
      </c>
      <c r="X358" s="44">
        <f t="shared" si="33"/>
        <v>341951300</v>
      </c>
      <c r="Y358" s="43">
        <f t="shared" si="34"/>
        <v>210328.51378614659</v>
      </c>
      <c r="Z358" s="45">
        <f t="shared" si="35"/>
        <v>6.7206260379827437E-2</v>
      </c>
    </row>
    <row r="359" spans="1:26">
      <c r="A359" s="42" t="s">
        <v>782</v>
      </c>
      <c r="B359" s="42" t="s">
        <v>783</v>
      </c>
      <c r="C359" s="42" t="s">
        <v>19</v>
      </c>
      <c r="D359" s="43">
        <v>732</v>
      </c>
      <c r="E359" s="43">
        <v>119373500</v>
      </c>
      <c r="F359" s="43">
        <v>6102</v>
      </c>
      <c r="G359" s="43">
        <v>2097157300</v>
      </c>
      <c r="H359" s="43">
        <v>17</v>
      </c>
      <c r="I359" s="43">
        <v>6307800</v>
      </c>
      <c r="J359" s="43">
        <v>36</v>
      </c>
      <c r="K359" s="43">
        <v>239200</v>
      </c>
      <c r="L359" s="43">
        <v>174</v>
      </c>
      <c r="M359" s="43">
        <v>695687300</v>
      </c>
      <c r="N359" s="43">
        <v>155</v>
      </c>
      <c r="O359" s="43">
        <v>439797200</v>
      </c>
      <c r="P359" s="43">
        <v>16</v>
      </c>
      <c r="Q359" s="43">
        <v>36222500</v>
      </c>
      <c r="R359" s="43">
        <v>3</v>
      </c>
      <c r="S359" s="43">
        <v>219667600</v>
      </c>
      <c r="T359" s="44">
        <f t="shared" si="30"/>
        <v>7061</v>
      </c>
      <c r="U359" s="44">
        <f t="shared" si="30"/>
        <v>2918765100</v>
      </c>
      <c r="V359" s="45">
        <f t="shared" si="31"/>
        <v>0.72066953931989941</v>
      </c>
      <c r="W359" s="44">
        <f t="shared" si="32"/>
        <v>6119</v>
      </c>
      <c r="X359" s="44">
        <f t="shared" si="33"/>
        <v>2323132700</v>
      </c>
      <c r="Y359" s="43">
        <f t="shared" si="34"/>
        <v>343759.61758457264</v>
      </c>
      <c r="Z359" s="45">
        <f t="shared" si="35"/>
        <v>7.5260458609704498E-2</v>
      </c>
    </row>
    <row r="360" spans="1:26">
      <c r="A360" s="42" t="s">
        <v>784</v>
      </c>
      <c r="B360" s="42" t="s">
        <v>785</v>
      </c>
      <c r="C360" s="42" t="s">
        <v>19</v>
      </c>
      <c r="D360" s="43">
        <v>632</v>
      </c>
      <c r="E360" s="43">
        <v>108809100</v>
      </c>
      <c r="F360" s="43">
        <v>8320</v>
      </c>
      <c r="G360" s="43">
        <v>3701801300</v>
      </c>
      <c r="H360" s="43">
        <v>1</v>
      </c>
      <c r="I360" s="43">
        <v>1008800</v>
      </c>
      <c r="J360" s="43">
        <v>2</v>
      </c>
      <c r="K360" s="43">
        <v>3200</v>
      </c>
      <c r="L360" s="43">
        <v>406</v>
      </c>
      <c r="M360" s="43">
        <v>824408200</v>
      </c>
      <c r="N360" s="43">
        <v>391</v>
      </c>
      <c r="O360" s="43">
        <v>650095600</v>
      </c>
      <c r="P360" s="43"/>
      <c r="Q360" s="43"/>
      <c r="R360" s="43">
        <v>15</v>
      </c>
      <c r="S360" s="43">
        <v>174312600</v>
      </c>
      <c r="T360" s="44">
        <f t="shared" si="30"/>
        <v>9361</v>
      </c>
      <c r="U360" s="44">
        <f t="shared" si="30"/>
        <v>4636030600</v>
      </c>
      <c r="V360" s="45">
        <f t="shared" si="31"/>
        <v>0.79870268759658314</v>
      </c>
      <c r="W360" s="44">
        <f t="shared" si="32"/>
        <v>8321</v>
      </c>
      <c r="X360" s="44">
        <f t="shared" si="33"/>
        <v>3877122700</v>
      </c>
      <c r="Y360" s="43">
        <f t="shared" si="34"/>
        <v>444995.80579257302</v>
      </c>
      <c r="Z360" s="45">
        <f t="shared" si="35"/>
        <v>3.7599536120404384E-2</v>
      </c>
    </row>
    <row r="361" spans="1:26">
      <c r="A361" s="42" t="s">
        <v>786</v>
      </c>
      <c r="B361" s="42" t="s">
        <v>787</v>
      </c>
      <c r="C361" s="42" t="s">
        <v>19</v>
      </c>
      <c r="D361" s="43">
        <v>143</v>
      </c>
      <c r="E361" s="43">
        <v>31764900</v>
      </c>
      <c r="F361" s="43">
        <v>1975</v>
      </c>
      <c r="G361" s="43">
        <v>1154034200</v>
      </c>
      <c r="H361" s="43">
        <v>1</v>
      </c>
      <c r="I361" s="43">
        <v>499500</v>
      </c>
      <c r="J361" s="43">
        <v>1</v>
      </c>
      <c r="K361" s="43">
        <v>9000</v>
      </c>
      <c r="L361" s="43">
        <v>31</v>
      </c>
      <c r="M361" s="43">
        <v>156154300</v>
      </c>
      <c r="N361" s="43">
        <v>30</v>
      </c>
      <c r="O361" s="43">
        <v>155484500</v>
      </c>
      <c r="P361" s="43"/>
      <c r="Q361" s="43"/>
      <c r="R361" s="43">
        <v>1</v>
      </c>
      <c r="S361" s="43">
        <v>669800</v>
      </c>
      <c r="T361" s="44">
        <f t="shared" si="30"/>
        <v>2151</v>
      </c>
      <c r="U361" s="44">
        <f t="shared" si="30"/>
        <v>1342461900</v>
      </c>
      <c r="V361" s="45">
        <f t="shared" si="31"/>
        <v>0.86001226552500298</v>
      </c>
      <c r="W361" s="44">
        <f t="shared" si="32"/>
        <v>1976</v>
      </c>
      <c r="X361" s="44">
        <f t="shared" si="33"/>
        <v>1155203500</v>
      </c>
      <c r="Y361" s="43">
        <f t="shared" si="34"/>
        <v>584278.18825910927</v>
      </c>
      <c r="Z361" s="45">
        <f t="shared" si="35"/>
        <v>4.9893408520569561E-4</v>
      </c>
    </row>
    <row r="362" spans="1:26">
      <c r="A362" s="42" t="s">
        <v>788</v>
      </c>
      <c r="B362" s="42" t="s">
        <v>789</v>
      </c>
      <c r="C362" s="42" t="s">
        <v>19</v>
      </c>
      <c r="D362" s="43">
        <v>203</v>
      </c>
      <c r="E362" s="43">
        <v>9559000</v>
      </c>
      <c r="F362" s="43">
        <v>6232</v>
      </c>
      <c r="G362" s="43">
        <v>847018600</v>
      </c>
      <c r="H362" s="43"/>
      <c r="I362" s="43"/>
      <c r="J362" s="43">
        <v>1</v>
      </c>
      <c r="K362" s="43">
        <v>4800</v>
      </c>
      <c r="L362" s="43">
        <v>368</v>
      </c>
      <c r="M362" s="43">
        <v>210895500</v>
      </c>
      <c r="N362" s="43">
        <v>362</v>
      </c>
      <c r="O362" s="43">
        <v>194355100</v>
      </c>
      <c r="P362" s="43">
        <v>6</v>
      </c>
      <c r="Q362" s="43">
        <v>16540400</v>
      </c>
      <c r="R362" s="43"/>
      <c r="S362" s="43"/>
      <c r="T362" s="44">
        <f t="shared" si="30"/>
        <v>6804</v>
      </c>
      <c r="U362" s="44">
        <f t="shared" si="30"/>
        <v>1067477900</v>
      </c>
      <c r="V362" s="45">
        <f t="shared" si="31"/>
        <v>0.79347647384550068</v>
      </c>
      <c r="W362" s="44">
        <f t="shared" si="32"/>
        <v>6232</v>
      </c>
      <c r="X362" s="44">
        <f t="shared" si="33"/>
        <v>847018600</v>
      </c>
      <c r="Y362" s="43">
        <f t="shared" si="34"/>
        <v>135914.40949935815</v>
      </c>
      <c r="Z362" s="45">
        <f t="shared" si="35"/>
        <v>0</v>
      </c>
    </row>
    <row r="363" spans="1:26">
      <c r="A363" s="42" t="s">
        <v>790</v>
      </c>
      <c r="B363" s="42" t="s">
        <v>791</v>
      </c>
      <c r="C363" s="42" t="s">
        <v>19</v>
      </c>
      <c r="D363" s="43">
        <v>87</v>
      </c>
      <c r="E363" s="43">
        <v>20991400</v>
      </c>
      <c r="F363" s="43">
        <v>3328</v>
      </c>
      <c r="G363" s="43">
        <v>1353253700</v>
      </c>
      <c r="H363" s="43"/>
      <c r="I363" s="43"/>
      <c r="J363" s="43"/>
      <c r="K363" s="43"/>
      <c r="L363" s="43">
        <v>615</v>
      </c>
      <c r="M363" s="43">
        <v>888484700</v>
      </c>
      <c r="N363" s="43">
        <v>536</v>
      </c>
      <c r="O363" s="43">
        <v>685713600</v>
      </c>
      <c r="P363" s="43">
        <v>51</v>
      </c>
      <c r="Q363" s="43">
        <v>54293500</v>
      </c>
      <c r="R363" s="43">
        <v>28</v>
      </c>
      <c r="S363" s="43">
        <v>148477600</v>
      </c>
      <c r="T363" s="44">
        <f t="shared" si="30"/>
        <v>4030</v>
      </c>
      <c r="U363" s="44">
        <f t="shared" si="30"/>
        <v>2262729800</v>
      </c>
      <c r="V363" s="45">
        <f t="shared" si="31"/>
        <v>0.59806243768036293</v>
      </c>
      <c r="W363" s="44">
        <f t="shared" si="32"/>
        <v>3328</v>
      </c>
      <c r="X363" s="44">
        <f t="shared" si="33"/>
        <v>1501731300</v>
      </c>
      <c r="Y363" s="43">
        <f t="shared" si="34"/>
        <v>406626.71274038462</v>
      </c>
      <c r="Z363" s="45">
        <f t="shared" si="35"/>
        <v>6.5618793724288249E-2</v>
      </c>
    </row>
    <row r="364" spans="1:26">
      <c r="A364" s="42" t="s">
        <v>792</v>
      </c>
      <c r="B364" s="42" t="s">
        <v>793</v>
      </c>
      <c r="C364" s="42" t="s">
        <v>19</v>
      </c>
      <c r="D364" s="43">
        <v>3</v>
      </c>
      <c r="E364" s="43">
        <v>718200</v>
      </c>
      <c r="F364" s="43">
        <v>308</v>
      </c>
      <c r="G364" s="43">
        <v>85676300</v>
      </c>
      <c r="H364" s="43">
        <v>9</v>
      </c>
      <c r="I364" s="43">
        <v>4732500</v>
      </c>
      <c r="J364" s="43">
        <v>9</v>
      </c>
      <c r="K364" s="43">
        <v>220000</v>
      </c>
      <c r="L364" s="43">
        <v>7</v>
      </c>
      <c r="M364" s="43">
        <v>4923800</v>
      </c>
      <c r="N364" s="43">
        <v>3</v>
      </c>
      <c r="O364" s="43">
        <v>1183700</v>
      </c>
      <c r="P364" s="43">
        <v>3</v>
      </c>
      <c r="Q364" s="43">
        <v>1638700</v>
      </c>
      <c r="R364" s="43">
        <v>1</v>
      </c>
      <c r="S364" s="43">
        <v>2101400</v>
      </c>
      <c r="T364" s="44">
        <f t="shared" si="30"/>
        <v>336</v>
      </c>
      <c r="U364" s="44">
        <f t="shared" si="30"/>
        <v>96270800</v>
      </c>
      <c r="V364" s="45">
        <f t="shared" si="31"/>
        <v>0.93910926262168803</v>
      </c>
      <c r="W364" s="44">
        <f t="shared" si="32"/>
        <v>317</v>
      </c>
      <c r="X364" s="44">
        <f t="shared" si="33"/>
        <v>92510200</v>
      </c>
      <c r="Y364" s="43">
        <f t="shared" si="34"/>
        <v>285201.261829653</v>
      </c>
      <c r="Z364" s="45">
        <f t="shared" si="35"/>
        <v>2.1828010154688649E-2</v>
      </c>
    </row>
    <row r="365" spans="1:26">
      <c r="A365" s="42" t="s">
        <v>794</v>
      </c>
      <c r="B365" s="42" t="s">
        <v>795</v>
      </c>
      <c r="C365" s="42" t="s">
        <v>19</v>
      </c>
      <c r="D365" s="43">
        <v>94</v>
      </c>
      <c r="E365" s="43">
        <v>45975700</v>
      </c>
      <c r="F365" s="43">
        <v>2414</v>
      </c>
      <c r="G365" s="43">
        <v>2747446100</v>
      </c>
      <c r="H365" s="43">
        <v>1</v>
      </c>
      <c r="I365" s="43">
        <v>6051700</v>
      </c>
      <c r="J365" s="43">
        <v>4</v>
      </c>
      <c r="K365" s="43">
        <v>31000</v>
      </c>
      <c r="L365" s="43">
        <v>73</v>
      </c>
      <c r="M365" s="43">
        <v>105392800</v>
      </c>
      <c r="N365" s="43">
        <v>69</v>
      </c>
      <c r="O365" s="43">
        <v>101724700</v>
      </c>
      <c r="P365" s="43"/>
      <c r="Q365" s="43"/>
      <c r="R365" s="43">
        <v>4</v>
      </c>
      <c r="S365" s="43">
        <v>3668100</v>
      </c>
      <c r="T365" s="44">
        <f t="shared" si="30"/>
        <v>2586</v>
      </c>
      <c r="U365" s="44">
        <f t="shared" si="30"/>
        <v>2904897300</v>
      </c>
      <c r="V365" s="45">
        <f t="shared" si="31"/>
        <v>0.94788128998570798</v>
      </c>
      <c r="W365" s="44">
        <f t="shared" si="32"/>
        <v>2415</v>
      </c>
      <c r="X365" s="44">
        <f t="shared" si="33"/>
        <v>2757165900</v>
      </c>
      <c r="Y365" s="43">
        <f t="shared" si="34"/>
        <v>1140164.7204968943</v>
      </c>
      <c r="Z365" s="45">
        <f t="shared" si="35"/>
        <v>1.2627296668973461E-3</v>
      </c>
    </row>
    <row r="366" spans="1:26">
      <c r="A366" s="42" t="s">
        <v>796</v>
      </c>
      <c r="B366" s="42" t="s">
        <v>797</v>
      </c>
      <c r="C366" s="42" t="s">
        <v>19</v>
      </c>
      <c r="D366" s="43">
        <v>176</v>
      </c>
      <c r="E366" s="43">
        <v>10017400</v>
      </c>
      <c r="F366" s="43">
        <v>1030</v>
      </c>
      <c r="G366" s="43">
        <v>419722500</v>
      </c>
      <c r="H366" s="43"/>
      <c r="I366" s="43"/>
      <c r="J366" s="43"/>
      <c r="K366" s="43"/>
      <c r="L366" s="43">
        <v>77</v>
      </c>
      <c r="M366" s="43">
        <v>94029900</v>
      </c>
      <c r="N366" s="43">
        <v>71</v>
      </c>
      <c r="O366" s="43">
        <v>88474800</v>
      </c>
      <c r="P366" s="43"/>
      <c r="Q366" s="43"/>
      <c r="R366" s="43">
        <v>6</v>
      </c>
      <c r="S366" s="43">
        <v>5555100</v>
      </c>
      <c r="T366" s="44">
        <f t="shared" si="30"/>
        <v>1283</v>
      </c>
      <c r="U366" s="44">
        <f t="shared" si="30"/>
        <v>523769800</v>
      </c>
      <c r="V366" s="45">
        <f t="shared" si="31"/>
        <v>0.80134918049876114</v>
      </c>
      <c r="W366" s="44">
        <f t="shared" si="32"/>
        <v>1030</v>
      </c>
      <c r="X366" s="44">
        <f t="shared" si="33"/>
        <v>425277600</v>
      </c>
      <c r="Y366" s="43">
        <f t="shared" si="34"/>
        <v>407497.57281553396</v>
      </c>
      <c r="Z366" s="45">
        <f t="shared" si="35"/>
        <v>1.0605995229201836E-2</v>
      </c>
    </row>
    <row r="367" spans="1:26">
      <c r="A367" s="42" t="s">
        <v>798</v>
      </c>
      <c r="B367" s="42" t="s">
        <v>799</v>
      </c>
      <c r="C367" s="42" t="s">
        <v>19</v>
      </c>
      <c r="D367" s="43">
        <v>50</v>
      </c>
      <c r="E367" s="43">
        <v>66055700</v>
      </c>
      <c r="F367" s="43">
        <v>1216</v>
      </c>
      <c r="G367" s="43">
        <v>1845020100</v>
      </c>
      <c r="H367" s="43"/>
      <c r="I367" s="43"/>
      <c r="J367" s="43"/>
      <c r="K367" s="43"/>
      <c r="L367" s="43">
        <v>41</v>
      </c>
      <c r="M367" s="43">
        <v>36816900</v>
      </c>
      <c r="N367" s="43">
        <v>41</v>
      </c>
      <c r="O367" s="43">
        <v>36816900</v>
      </c>
      <c r="P367" s="43"/>
      <c r="Q367" s="43"/>
      <c r="R367" s="43"/>
      <c r="S367" s="43"/>
      <c r="T367" s="44">
        <f t="shared" si="30"/>
        <v>1307</v>
      </c>
      <c r="U367" s="44">
        <f t="shared" si="30"/>
        <v>1947892700</v>
      </c>
      <c r="V367" s="45">
        <f t="shared" si="31"/>
        <v>0.94718774807257089</v>
      </c>
      <c r="W367" s="44">
        <f t="shared" si="32"/>
        <v>1216</v>
      </c>
      <c r="X367" s="44">
        <f t="shared" si="33"/>
        <v>1845020100</v>
      </c>
      <c r="Y367" s="43">
        <f t="shared" si="34"/>
        <v>1517286.2664473683</v>
      </c>
      <c r="Z367" s="45">
        <f t="shared" si="35"/>
        <v>0</v>
      </c>
    </row>
    <row r="368" spans="1:26">
      <c r="A368" s="42" t="s">
        <v>800</v>
      </c>
      <c r="B368" s="42" t="s">
        <v>801</v>
      </c>
      <c r="C368" s="42" t="s">
        <v>19</v>
      </c>
      <c r="D368" s="43">
        <v>26</v>
      </c>
      <c r="E368" s="43">
        <v>5154200</v>
      </c>
      <c r="F368" s="43">
        <v>1298</v>
      </c>
      <c r="G368" s="43">
        <v>517858900</v>
      </c>
      <c r="H368" s="43">
        <v>1</v>
      </c>
      <c r="I368" s="43">
        <v>778700</v>
      </c>
      <c r="J368" s="43">
        <v>1</v>
      </c>
      <c r="K368" s="43">
        <v>10900</v>
      </c>
      <c r="L368" s="43">
        <v>171</v>
      </c>
      <c r="M368" s="43">
        <v>286898200</v>
      </c>
      <c r="N368" s="43">
        <v>171</v>
      </c>
      <c r="O368" s="43">
        <v>286898200</v>
      </c>
      <c r="P368" s="43"/>
      <c r="Q368" s="43"/>
      <c r="R368" s="43"/>
      <c r="S368" s="43"/>
      <c r="T368" s="44">
        <f t="shared" si="30"/>
        <v>1497</v>
      </c>
      <c r="U368" s="44">
        <f t="shared" si="30"/>
        <v>810700900</v>
      </c>
      <c r="V368" s="45">
        <f t="shared" si="31"/>
        <v>0.63973976098953389</v>
      </c>
      <c r="W368" s="44">
        <f t="shared" si="32"/>
        <v>1299</v>
      </c>
      <c r="X368" s="44">
        <f t="shared" si="33"/>
        <v>518637600</v>
      </c>
      <c r="Y368" s="43">
        <f t="shared" si="34"/>
        <v>399259.12240184756</v>
      </c>
      <c r="Z368" s="45">
        <f t="shared" si="35"/>
        <v>0</v>
      </c>
    </row>
    <row r="369" spans="1:26">
      <c r="A369" s="42" t="s">
        <v>802</v>
      </c>
      <c r="B369" s="42" t="s">
        <v>803</v>
      </c>
      <c r="C369" s="42" t="s">
        <v>19</v>
      </c>
      <c r="D369" s="43"/>
      <c r="E369" s="43"/>
      <c r="F369" s="43">
        <v>122</v>
      </c>
      <c r="G369" s="43">
        <v>24964700</v>
      </c>
      <c r="H369" s="43"/>
      <c r="I369" s="43"/>
      <c r="J369" s="43"/>
      <c r="K369" s="43"/>
      <c r="L369" s="43">
        <v>269</v>
      </c>
      <c r="M369" s="43">
        <v>47611500</v>
      </c>
      <c r="N369" s="43"/>
      <c r="O369" s="43"/>
      <c r="P369" s="43"/>
      <c r="Q369" s="43"/>
      <c r="R369" s="43">
        <v>269</v>
      </c>
      <c r="S369" s="43">
        <v>47611500</v>
      </c>
      <c r="T369" s="44">
        <f t="shared" si="30"/>
        <v>391</v>
      </c>
      <c r="U369" s="44">
        <f t="shared" si="30"/>
        <v>72576200</v>
      </c>
      <c r="V369" s="45">
        <f t="shared" si="31"/>
        <v>0.34397915570118026</v>
      </c>
      <c r="W369" s="44">
        <f t="shared" si="32"/>
        <v>122</v>
      </c>
      <c r="X369" s="44">
        <f t="shared" si="33"/>
        <v>72576200</v>
      </c>
      <c r="Y369" s="43">
        <f t="shared" si="34"/>
        <v>204628.68852459016</v>
      </c>
      <c r="Z369" s="45">
        <f t="shared" si="35"/>
        <v>0.65602084429881968</v>
      </c>
    </row>
    <row r="370" spans="1:26">
      <c r="A370" s="42" t="s">
        <v>804</v>
      </c>
      <c r="B370" s="42" t="s">
        <v>805</v>
      </c>
      <c r="C370" s="42" t="s">
        <v>19</v>
      </c>
      <c r="D370" s="43">
        <v>40</v>
      </c>
      <c r="E370" s="43">
        <v>9061000</v>
      </c>
      <c r="F370" s="43">
        <v>900</v>
      </c>
      <c r="G370" s="43">
        <v>345831700</v>
      </c>
      <c r="H370" s="43"/>
      <c r="I370" s="43"/>
      <c r="J370" s="43"/>
      <c r="K370" s="43"/>
      <c r="L370" s="43">
        <v>43</v>
      </c>
      <c r="M370" s="43">
        <v>25509000</v>
      </c>
      <c r="N370" s="43">
        <v>40</v>
      </c>
      <c r="O370" s="43">
        <v>22298800</v>
      </c>
      <c r="P370" s="43">
        <v>2</v>
      </c>
      <c r="Q370" s="43">
        <v>759200</v>
      </c>
      <c r="R370" s="43">
        <v>1</v>
      </c>
      <c r="S370" s="43">
        <v>2451000</v>
      </c>
      <c r="T370" s="44">
        <f t="shared" si="30"/>
        <v>983</v>
      </c>
      <c r="U370" s="44">
        <f t="shared" si="30"/>
        <v>380401700</v>
      </c>
      <c r="V370" s="45">
        <f t="shared" si="31"/>
        <v>0.90912238299671111</v>
      </c>
      <c r="W370" s="44">
        <f t="shared" si="32"/>
        <v>900</v>
      </c>
      <c r="X370" s="44">
        <f t="shared" si="33"/>
        <v>348282700</v>
      </c>
      <c r="Y370" s="43">
        <f t="shared" si="34"/>
        <v>384257.44444444444</v>
      </c>
      <c r="Z370" s="45">
        <f t="shared" si="35"/>
        <v>6.4431888711328055E-3</v>
      </c>
    </row>
    <row r="371" spans="1:26">
      <c r="A371" s="42" t="s">
        <v>806</v>
      </c>
      <c r="B371" s="42" t="s">
        <v>807</v>
      </c>
      <c r="C371" s="42" t="s">
        <v>19</v>
      </c>
      <c r="D371" s="43">
        <v>63</v>
      </c>
      <c r="E371" s="43">
        <v>68458600</v>
      </c>
      <c r="F371" s="43">
        <v>1876</v>
      </c>
      <c r="G371" s="43">
        <v>3135610200</v>
      </c>
      <c r="H371" s="43"/>
      <c r="I371" s="43"/>
      <c r="J371" s="43"/>
      <c r="K371" s="43"/>
      <c r="L371" s="43">
        <v>103</v>
      </c>
      <c r="M371" s="43">
        <v>152407900</v>
      </c>
      <c r="N371" s="43">
        <v>101</v>
      </c>
      <c r="O371" s="43">
        <v>149299200</v>
      </c>
      <c r="P371" s="43">
        <v>1</v>
      </c>
      <c r="Q371" s="43">
        <v>599100</v>
      </c>
      <c r="R371" s="43">
        <v>1</v>
      </c>
      <c r="S371" s="43">
        <v>2509600</v>
      </c>
      <c r="T371" s="44">
        <f t="shared" si="30"/>
        <v>2042</v>
      </c>
      <c r="U371" s="44">
        <f t="shared" si="30"/>
        <v>3356476700</v>
      </c>
      <c r="V371" s="45">
        <f t="shared" si="31"/>
        <v>0.93419692143252475</v>
      </c>
      <c r="W371" s="44">
        <f t="shared" si="32"/>
        <v>1876</v>
      </c>
      <c r="X371" s="44">
        <f t="shared" si="33"/>
        <v>3138119800</v>
      </c>
      <c r="Y371" s="43">
        <f t="shared" si="34"/>
        <v>1671434.0085287846</v>
      </c>
      <c r="Z371" s="45">
        <f t="shared" si="35"/>
        <v>7.4768878925928492E-4</v>
      </c>
    </row>
    <row r="372" spans="1:26">
      <c r="A372" s="42" t="s">
        <v>808</v>
      </c>
      <c r="B372" s="42" t="s">
        <v>809</v>
      </c>
      <c r="C372" s="42" t="s">
        <v>19</v>
      </c>
      <c r="D372" s="43">
        <v>43</v>
      </c>
      <c r="E372" s="43">
        <v>9799200</v>
      </c>
      <c r="F372" s="43">
        <v>2129</v>
      </c>
      <c r="G372" s="43">
        <v>968851300</v>
      </c>
      <c r="H372" s="43"/>
      <c r="I372" s="43"/>
      <c r="J372" s="43"/>
      <c r="K372" s="43"/>
      <c r="L372" s="43">
        <v>90</v>
      </c>
      <c r="M372" s="43">
        <v>179524700</v>
      </c>
      <c r="N372" s="43">
        <v>81</v>
      </c>
      <c r="O372" s="43">
        <v>118763100</v>
      </c>
      <c r="P372" s="43"/>
      <c r="Q372" s="43"/>
      <c r="R372" s="43">
        <v>9</v>
      </c>
      <c r="S372" s="43">
        <v>60761600</v>
      </c>
      <c r="T372" s="44">
        <f t="shared" si="30"/>
        <v>2262</v>
      </c>
      <c r="U372" s="44">
        <f t="shared" si="30"/>
        <v>1158175200</v>
      </c>
      <c r="V372" s="45">
        <f t="shared" si="31"/>
        <v>0.83653259023332571</v>
      </c>
      <c r="W372" s="44">
        <f t="shared" si="32"/>
        <v>2129</v>
      </c>
      <c r="X372" s="44">
        <f t="shared" si="33"/>
        <v>1029612900</v>
      </c>
      <c r="Y372" s="43">
        <f t="shared" si="34"/>
        <v>455073.41474870831</v>
      </c>
      <c r="Z372" s="45">
        <f t="shared" si="35"/>
        <v>5.2463219727032662E-2</v>
      </c>
    </row>
    <row r="373" spans="1:26">
      <c r="A373" s="42" t="s">
        <v>810</v>
      </c>
      <c r="B373" s="42" t="s">
        <v>811</v>
      </c>
      <c r="C373" s="42" t="s">
        <v>19</v>
      </c>
      <c r="D373" s="43">
        <v>117</v>
      </c>
      <c r="E373" s="43">
        <v>7182800</v>
      </c>
      <c r="F373" s="43">
        <v>2137</v>
      </c>
      <c r="G373" s="43">
        <v>383651000</v>
      </c>
      <c r="H373" s="43"/>
      <c r="I373" s="43"/>
      <c r="J373" s="43"/>
      <c r="K373" s="43"/>
      <c r="L373" s="43">
        <v>64</v>
      </c>
      <c r="M373" s="43">
        <v>58718500</v>
      </c>
      <c r="N373" s="43">
        <v>58</v>
      </c>
      <c r="O373" s="43">
        <v>14099100</v>
      </c>
      <c r="P373" s="43">
        <v>5</v>
      </c>
      <c r="Q373" s="43">
        <v>44428600</v>
      </c>
      <c r="R373" s="43">
        <v>1</v>
      </c>
      <c r="S373" s="43">
        <v>190800</v>
      </c>
      <c r="T373" s="44">
        <f t="shared" si="30"/>
        <v>2318</v>
      </c>
      <c r="U373" s="44">
        <f t="shared" si="30"/>
        <v>449552300</v>
      </c>
      <c r="V373" s="45">
        <f t="shared" si="31"/>
        <v>0.85340682274342716</v>
      </c>
      <c r="W373" s="44">
        <f t="shared" si="32"/>
        <v>2137</v>
      </c>
      <c r="X373" s="44">
        <f t="shared" si="33"/>
        <v>383841800</v>
      </c>
      <c r="Y373" s="43">
        <f t="shared" si="34"/>
        <v>179527.84277023864</v>
      </c>
      <c r="Z373" s="45">
        <f t="shared" si="35"/>
        <v>4.2442225298369067E-4</v>
      </c>
    </row>
    <row r="374" spans="1:26">
      <c r="A374" s="42" t="s">
        <v>812</v>
      </c>
      <c r="B374" s="42" t="s">
        <v>813</v>
      </c>
      <c r="C374" s="42" t="s">
        <v>19</v>
      </c>
      <c r="D374" s="43">
        <v>239</v>
      </c>
      <c r="E374" s="43">
        <v>30601700</v>
      </c>
      <c r="F374" s="43">
        <v>2047</v>
      </c>
      <c r="G374" s="43">
        <v>1069197500</v>
      </c>
      <c r="H374" s="43">
        <v>318</v>
      </c>
      <c r="I374" s="43">
        <v>175747600</v>
      </c>
      <c r="J374" s="43">
        <v>672</v>
      </c>
      <c r="K374" s="43">
        <v>9774100</v>
      </c>
      <c r="L374" s="43">
        <v>74</v>
      </c>
      <c r="M374" s="43">
        <v>61956000</v>
      </c>
      <c r="N374" s="43">
        <v>57</v>
      </c>
      <c r="O374" s="43">
        <v>46857000</v>
      </c>
      <c r="P374" s="43">
        <v>16</v>
      </c>
      <c r="Q374" s="43">
        <v>14671100</v>
      </c>
      <c r="R374" s="43">
        <v>1</v>
      </c>
      <c r="S374" s="43">
        <v>427900</v>
      </c>
      <c r="T374" s="44">
        <f t="shared" si="30"/>
        <v>3350</v>
      </c>
      <c r="U374" s="44">
        <f t="shared" si="30"/>
        <v>1347276900</v>
      </c>
      <c r="V374" s="45">
        <f t="shared" si="31"/>
        <v>0.92404545791588943</v>
      </c>
      <c r="W374" s="44">
        <f t="shared" si="32"/>
        <v>2365</v>
      </c>
      <c r="X374" s="44">
        <f t="shared" si="33"/>
        <v>1245373000</v>
      </c>
      <c r="Y374" s="43">
        <f t="shared" si="34"/>
        <v>526403.84778012685</v>
      </c>
      <c r="Z374" s="45">
        <f t="shared" si="35"/>
        <v>3.1760360472297863E-4</v>
      </c>
    </row>
    <row r="375" spans="1:26">
      <c r="A375" s="42" t="s">
        <v>814</v>
      </c>
      <c r="B375" s="42" t="s">
        <v>815</v>
      </c>
      <c r="C375" s="42" t="s">
        <v>19</v>
      </c>
      <c r="D375" s="43">
        <v>623</v>
      </c>
      <c r="E375" s="43">
        <v>101487000</v>
      </c>
      <c r="F375" s="43">
        <v>9228</v>
      </c>
      <c r="G375" s="43">
        <v>2916601400</v>
      </c>
      <c r="H375" s="43">
        <v>63</v>
      </c>
      <c r="I375" s="43">
        <v>31863200</v>
      </c>
      <c r="J375" s="43">
        <v>89</v>
      </c>
      <c r="K375" s="43">
        <v>974400</v>
      </c>
      <c r="L375" s="43">
        <v>704</v>
      </c>
      <c r="M375" s="43">
        <v>804833800</v>
      </c>
      <c r="N375" s="43">
        <v>611</v>
      </c>
      <c r="O375" s="43">
        <v>656360100</v>
      </c>
      <c r="P375" s="43">
        <v>84</v>
      </c>
      <c r="Q375" s="43">
        <v>124595000</v>
      </c>
      <c r="R375" s="43">
        <v>9</v>
      </c>
      <c r="S375" s="43">
        <v>23878700</v>
      </c>
      <c r="T375" s="44">
        <f t="shared" si="30"/>
        <v>10707</v>
      </c>
      <c r="U375" s="44">
        <f t="shared" si="30"/>
        <v>3855759800</v>
      </c>
      <c r="V375" s="45">
        <f t="shared" si="31"/>
        <v>0.76469094366303625</v>
      </c>
      <c r="W375" s="44">
        <f t="shared" si="32"/>
        <v>9291</v>
      </c>
      <c r="X375" s="44">
        <f t="shared" si="33"/>
        <v>2972343300</v>
      </c>
      <c r="Y375" s="43">
        <f t="shared" si="34"/>
        <v>317346.31363685289</v>
      </c>
      <c r="Z375" s="45">
        <f t="shared" si="35"/>
        <v>6.1929946984768088E-3</v>
      </c>
    </row>
    <row r="376" spans="1:26">
      <c r="A376" s="42" t="s">
        <v>816</v>
      </c>
      <c r="B376" s="42" t="s">
        <v>817</v>
      </c>
      <c r="C376" s="42" t="s">
        <v>19</v>
      </c>
      <c r="D376" s="43">
        <v>77</v>
      </c>
      <c r="E376" s="43">
        <v>11834400</v>
      </c>
      <c r="F376" s="43">
        <v>2270</v>
      </c>
      <c r="G376" s="43">
        <v>1081943400</v>
      </c>
      <c r="H376" s="43">
        <v>3</v>
      </c>
      <c r="I376" s="43">
        <v>1625900</v>
      </c>
      <c r="J376" s="43">
        <v>4</v>
      </c>
      <c r="K376" s="43">
        <v>17600</v>
      </c>
      <c r="L376" s="43">
        <v>163</v>
      </c>
      <c r="M376" s="43">
        <v>259406200</v>
      </c>
      <c r="N376" s="43">
        <v>159</v>
      </c>
      <c r="O376" s="43">
        <v>254243700</v>
      </c>
      <c r="P376" s="43">
        <v>2</v>
      </c>
      <c r="Q376" s="43">
        <v>3254900</v>
      </c>
      <c r="R376" s="43">
        <v>2</v>
      </c>
      <c r="S376" s="43">
        <v>1907600</v>
      </c>
      <c r="T376" s="44">
        <f t="shared" si="30"/>
        <v>2517</v>
      </c>
      <c r="U376" s="44">
        <f t="shared" si="30"/>
        <v>1354827500</v>
      </c>
      <c r="V376" s="45">
        <f t="shared" si="31"/>
        <v>0.79978395773631694</v>
      </c>
      <c r="W376" s="44">
        <f t="shared" si="32"/>
        <v>2273</v>
      </c>
      <c r="X376" s="44">
        <f t="shared" si="33"/>
        <v>1085476900</v>
      </c>
      <c r="Y376" s="43">
        <f t="shared" si="34"/>
        <v>476713.28640563134</v>
      </c>
      <c r="Z376" s="45">
        <f t="shared" si="35"/>
        <v>1.4080021257318737E-3</v>
      </c>
    </row>
    <row r="377" spans="1:26">
      <c r="A377" s="42" t="s">
        <v>818</v>
      </c>
      <c r="B377" s="42" t="s">
        <v>819</v>
      </c>
      <c r="C377" s="42" t="s">
        <v>20</v>
      </c>
      <c r="D377" s="43">
        <v>111</v>
      </c>
      <c r="E377" s="43">
        <v>10755400</v>
      </c>
      <c r="F377" s="43">
        <v>2368</v>
      </c>
      <c r="G377" s="43">
        <v>1001230100</v>
      </c>
      <c r="H377" s="43">
        <v>1</v>
      </c>
      <c r="I377" s="43">
        <v>412700</v>
      </c>
      <c r="J377" s="43">
        <v>1</v>
      </c>
      <c r="K377" s="43">
        <v>2000</v>
      </c>
      <c r="L377" s="43">
        <v>244</v>
      </c>
      <c r="M377" s="43">
        <v>278322600</v>
      </c>
      <c r="N377" s="43">
        <v>191</v>
      </c>
      <c r="O377" s="43">
        <v>182340200</v>
      </c>
      <c r="P377" s="43">
        <v>40</v>
      </c>
      <c r="Q377" s="43">
        <v>74767800</v>
      </c>
      <c r="R377" s="43">
        <v>13</v>
      </c>
      <c r="S377" s="43">
        <v>21214600</v>
      </c>
      <c r="T377" s="44">
        <f t="shared" si="30"/>
        <v>2725</v>
      </c>
      <c r="U377" s="44">
        <f t="shared" si="30"/>
        <v>1290722800</v>
      </c>
      <c r="V377" s="45">
        <f t="shared" si="31"/>
        <v>0.77603246800939751</v>
      </c>
      <c r="W377" s="44">
        <f t="shared" si="32"/>
        <v>2369</v>
      </c>
      <c r="X377" s="44">
        <f t="shared" si="33"/>
        <v>1022857400</v>
      </c>
      <c r="Y377" s="43">
        <f t="shared" si="34"/>
        <v>422812.49472351203</v>
      </c>
      <c r="Z377" s="45">
        <f t="shared" si="35"/>
        <v>1.6436216978579755E-2</v>
      </c>
    </row>
    <row r="378" spans="1:26">
      <c r="A378" s="42" t="s">
        <v>820</v>
      </c>
      <c r="B378" s="42" t="s">
        <v>821</v>
      </c>
      <c r="C378" s="42" t="s">
        <v>20</v>
      </c>
      <c r="D378" s="43">
        <v>126</v>
      </c>
      <c r="E378" s="43">
        <v>27245200</v>
      </c>
      <c r="F378" s="43">
        <v>1501</v>
      </c>
      <c r="G378" s="43">
        <v>1050841100</v>
      </c>
      <c r="H378" s="43">
        <v>30</v>
      </c>
      <c r="I378" s="43">
        <v>24936100</v>
      </c>
      <c r="J378" s="43">
        <v>43</v>
      </c>
      <c r="K378" s="43">
        <v>257400</v>
      </c>
      <c r="L378" s="43">
        <v>19</v>
      </c>
      <c r="M378" s="43">
        <v>35933100</v>
      </c>
      <c r="N378" s="43">
        <v>11</v>
      </c>
      <c r="O378" s="43">
        <v>16901200</v>
      </c>
      <c r="P378" s="43">
        <v>7</v>
      </c>
      <c r="Q378" s="43">
        <v>18460900</v>
      </c>
      <c r="R378" s="43">
        <v>1</v>
      </c>
      <c r="S378" s="43">
        <v>571000</v>
      </c>
      <c r="T378" s="44">
        <f t="shared" si="30"/>
        <v>1719</v>
      </c>
      <c r="U378" s="44">
        <f t="shared" si="30"/>
        <v>1139212900</v>
      </c>
      <c r="V378" s="45">
        <f t="shared" si="31"/>
        <v>0.94431620288007623</v>
      </c>
      <c r="W378" s="44">
        <f t="shared" si="32"/>
        <v>1531</v>
      </c>
      <c r="X378" s="44">
        <f t="shared" si="33"/>
        <v>1076348200</v>
      </c>
      <c r="Y378" s="43">
        <f t="shared" si="34"/>
        <v>702663.09601567604</v>
      </c>
      <c r="Z378" s="45">
        <f t="shared" si="35"/>
        <v>5.0122325686445437E-4</v>
      </c>
    </row>
    <row r="379" spans="1:26">
      <c r="A379" s="42" t="s">
        <v>822</v>
      </c>
      <c r="B379" s="42" t="s">
        <v>823</v>
      </c>
      <c r="C379" s="42" t="s">
        <v>20</v>
      </c>
      <c r="D379" s="43">
        <v>145</v>
      </c>
      <c r="E379" s="43">
        <v>16397800</v>
      </c>
      <c r="F379" s="43">
        <v>2314</v>
      </c>
      <c r="G379" s="43">
        <v>586831500</v>
      </c>
      <c r="H379" s="43"/>
      <c r="I379" s="43"/>
      <c r="J379" s="43">
        <v>1</v>
      </c>
      <c r="K379" s="43">
        <v>700</v>
      </c>
      <c r="L379" s="43">
        <v>163</v>
      </c>
      <c r="M379" s="43">
        <v>135710900</v>
      </c>
      <c r="N379" s="43">
        <v>134</v>
      </c>
      <c r="O379" s="43">
        <v>95096200</v>
      </c>
      <c r="P379" s="43">
        <v>16</v>
      </c>
      <c r="Q379" s="43">
        <v>21111700</v>
      </c>
      <c r="R379" s="43">
        <v>13</v>
      </c>
      <c r="S379" s="43">
        <v>19503000</v>
      </c>
      <c r="T379" s="44">
        <f t="shared" si="30"/>
        <v>2623</v>
      </c>
      <c r="U379" s="44">
        <f t="shared" si="30"/>
        <v>738940900</v>
      </c>
      <c r="V379" s="45">
        <f t="shared" si="31"/>
        <v>0.79415214396712919</v>
      </c>
      <c r="W379" s="44">
        <f t="shared" si="32"/>
        <v>2314</v>
      </c>
      <c r="X379" s="44">
        <f t="shared" si="33"/>
        <v>606334500</v>
      </c>
      <c r="Y379" s="43">
        <f t="shared" si="34"/>
        <v>253600.47536732929</v>
      </c>
      <c r="Z379" s="45">
        <f t="shared" si="35"/>
        <v>2.6393179752264354E-2</v>
      </c>
    </row>
    <row r="380" spans="1:26">
      <c r="A380" s="42" t="s">
        <v>824</v>
      </c>
      <c r="B380" s="42" t="s">
        <v>825</v>
      </c>
      <c r="C380" s="42" t="s">
        <v>20</v>
      </c>
      <c r="D380" s="43">
        <v>60</v>
      </c>
      <c r="E380" s="43">
        <v>13630700</v>
      </c>
      <c r="F380" s="43">
        <v>2692</v>
      </c>
      <c r="G380" s="43">
        <v>1759974900</v>
      </c>
      <c r="H380" s="43"/>
      <c r="I380" s="43"/>
      <c r="J380" s="43">
        <v>1</v>
      </c>
      <c r="K380" s="43">
        <v>200</v>
      </c>
      <c r="L380" s="43">
        <v>238</v>
      </c>
      <c r="M380" s="43">
        <v>278096300</v>
      </c>
      <c r="N380" s="43">
        <v>194</v>
      </c>
      <c r="O380" s="43">
        <v>217232100</v>
      </c>
      <c r="P380" s="43">
        <v>29</v>
      </c>
      <c r="Q380" s="43">
        <v>21490500</v>
      </c>
      <c r="R380" s="43">
        <v>15</v>
      </c>
      <c r="S380" s="43">
        <v>39373700</v>
      </c>
      <c r="T380" s="44">
        <f t="shared" si="30"/>
        <v>2991</v>
      </c>
      <c r="U380" s="44">
        <f t="shared" si="30"/>
        <v>2051702100</v>
      </c>
      <c r="V380" s="45">
        <f t="shared" si="31"/>
        <v>0.85781210634818772</v>
      </c>
      <c r="W380" s="44">
        <f t="shared" si="32"/>
        <v>2692</v>
      </c>
      <c r="X380" s="44">
        <f t="shared" si="33"/>
        <v>1799348600</v>
      </c>
      <c r="Y380" s="43">
        <f t="shared" si="34"/>
        <v>653779.68053491833</v>
      </c>
      <c r="Z380" s="45">
        <f t="shared" si="35"/>
        <v>1.9190748988364342E-2</v>
      </c>
    </row>
    <row r="381" spans="1:26">
      <c r="A381" s="42" t="s">
        <v>826</v>
      </c>
      <c r="B381" s="42" t="s">
        <v>827</v>
      </c>
      <c r="C381" s="42" t="s">
        <v>20</v>
      </c>
      <c r="D381" s="43">
        <v>241</v>
      </c>
      <c r="E381" s="43">
        <v>46219100</v>
      </c>
      <c r="F381" s="43">
        <v>3646</v>
      </c>
      <c r="G381" s="43">
        <v>2638012800</v>
      </c>
      <c r="H381" s="43">
        <v>15</v>
      </c>
      <c r="I381" s="43">
        <v>13684800</v>
      </c>
      <c r="J381" s="43">
        <v>22</v>
      </c>
      <c r="K381" s="43">
        <v>455300</v>
      </c>
      <c r="L381" s="43">
        <v>36</v>
      </c>
      <c r="M381" s="43">
        <v>162176500</v>
      </c>
      <c r="N381" s="43">
        <v>30</v>
      </c>
      <c r="O381" s="43">
        <v>121926400</v>
      </c>
      <c r="P381" s="43">
        <v>4</v>
      </c>
      <c r="Q381" s="43">
        <v>13725100</v>
      </c>
      <c r="R381" s="43">
        <v>2</v>
      </c>
      <c r="S381" s="43">
        <v>26525000</v>
      </c>
      <c r="T381" s="44">
        <f t="shared" si="30"/>
        <v>3960</v>
      </c>
      <c r="U381" s="44">
        <f t="shared" si="30"/>
        <v>2860548500</v>
      </c>
      <c r="V381" s="45">
        <f t="shared" si="31"/>
        <v>0.92698921203398577</v>
      </c>
      <c r="W381" s="44">
        <f t="shared" si="32"/>
        <v>3661</v>
      </c>
      <c r="X381" s="44">
        <f t="shared" si="33"/>
        <v>2678222600</v>
      </c>
      <c r="Y381" s="43">
        <f t="shared" si="34"/>
        <v>724309.64217426931</v>
      </c>
      <c r="Z381" s="45">
        <f t="shared" si="35"/>
        <v>9.2726971767827047E-3</v>
      </c>
    </row>
    <row r="382" spans="1:26">
      <c r="A382" s="42" t="s">
        <v>828</v>
      </c>
      <c r="B382" s="42" t="s">
        <v>829</v>
      </c>
      <c r="C382" s="42" t="s">
        <v>20</v>
      </c>
      <c r="D382" s="43">
        <v>40</v>
      </c>
      <c r="E382" s="43">
        <v>5466500</v>
      </c>
      <c r="F382" s="43">
        <v>463</v>
      </c>
      <c r="G382" s="43">
        <v>245143100</v>
      </c>
      <c r="H382" s="43">
        <v>4</v>
      </c>
      <c r="I382" s="43">
        <v>1310000</v>
      </c>
      <c r="J382" s="43">
        <v>9</v>
      </c>
      <c r="K382" s="43">
        <v>44500</v>
      </c>
      <c r="L382" s="43">
        <v>143</v>
      </c>
      <c r="M382" s="43">
        <v>200956600</v>
      </c>
      <c r="N382" s="43">
        <v>140</v>
      </c>
      <c r="O382" s="43">
        <v>198742100</v>
      </c>
      <c r="P382" s="43"/>
      <c r="Q382" s="43"/>
      <c r="R382" s="43">
        <v>3</v>
      </c>
      <c r="S382" s="43">
        <v>2214500</v>
      </c>
      <c r="T382" s="44">
        <f t="shared" si="30"/>
        <v>659</v>
      </c>
      <c r="U382" s="44">
        <f t="shared" si="30"/>
        <v>452920700</v>
      </c>
      <c r="V382" s="45">
        <f t="shared" si="31"/>
        <v>0.54414183321716136</v>
      </c>
      <c r="W382" s="44">
        <f t="shared" si="32"/>
        <v>467</v>
      </c>
      <c r="X382" s="44">
        <f t="shared" si="33"/>
        <v>248667600</v>
      </c>
      <c r="Y382" s="43">
        <f t="shared" si="34"/>
        <v>527736.83083511773</v>
      </c>
      <c r="Z382" s="45">
        <f t="shared" si="35"/>
        <v>4.8893768820899549E-3</v>
      </c>
    </row>
    <row r="383" spans="1:26">
      <c r="A383" s="42" t="s">
        <v>830</v>
      </c>
      <c r="B383" s="42" t="s">
        <v>831</v>
      </c>
      <c r="C383" s="42" t="s">
        <v>20</v>
      </c>
      <c r="D383" s="43">
        <v>162</v>
      </c>
      <c r="E383" s="43">
        <v>31112000</v>
      </c>
      <c r="F383" s="43">
        <v>2511</v>
      </c>
      <c r="G383" s="43">
        <v>2074551033</v>
      </c>
      <c r="H383" s="43">
        <v>99</v>
      </c>
      <c r="I383" s="43">
        <v>104181300</v>
      </c>
      <c r="J383" s="43">
        <v>157</v>
      </c>
      <c r="K383" s="43">
        <v>1186900</v>
      </c>
      <c r="L383" s="43">
        <v>91</v>
      </c>
      <c r="M383" s="43">
        <v>55920000</v>
      </c>
      <c r="N383" s="43">
        <v>81</v>
      </c>
      <c r="O383" s="43">
        <v>50305200</v>
      </c>
      <c r="P383" s="43">
        <v>9</v>
      </c>
      <c r="Q383" s="43">
        <v>4704800</v>
      </c>
      <c r="R383" s="43">
        <v>1</v>
      </c>
      <c r="S383" s="43">
        <v>910000</v>
      </c>
      <c r="T383" s="44">
        <f t="shared" si="30"/>
        <v>3020</v>
      </c>
      <c r="U383" s="44">
        <f t="shared" si="30"/>
        <v>2266951233</v>
      </c>
      <c r="V383" s="45">
        <f t="shared" si="31"/>
        <v>0.96108478262972852</v>
      </c>
      <c r="W383" s="44">
        <f t="shared" si="32"/>
        <v>2610</v>
      </c>
      <c r="X383" s="44">
        <f t="shared" si="33"/>
        <v>2179642333</v>
      </c>
      <c r="Y383" s="43">
        <f t="shared" si="34"/>
        <v>834763.34597701149</v>
      </c>
      <c r="Z383" s="45">
        <f t="shared" si="35"/>
        <v>4.0142019235047213E-4</v>
      </c>
    </row>
    <row r="384" spans="1:26">
      <c r="A384" s="42" t="s">
        <v>832</v>
      </c>
      <c r="B384" s="42" t="s">
        <v>833</v>
      </c>
      <c r="C384" s="42" t="s">
        <v>20</v>
      </c>
      <c r="D384" s="43">
        <v>696</v>
      </c>
      <c r="E384" s="43">
        <v>48382100</v>
      </c>
      <c r="F384" s="43">
        <v>5941</v>
      </c>
      <c r="G384" s="43">
        <v>1842271000</v>
      </c>
      <c r="H384" s="43">
        <v>12</v>
      </c>
      <c r="I384" s="43">
        <v>4842400</v>
      </c>
      <c r="J384" s="43">
        <v>17</v>
      </c>
      <c r="K384" s="43">
        <v>86900</v>
      </c>
      <c r="L384" s="43">
        <v>395</v>
      </c>
      <c r="M384" s="43">
        <v>373195300</v>
      </c>
      <c r="N384" s="43">
        <v>354</v>
      </c>
      <c r="O384" s="43">
        <v>295343300</v>
      </c>
      <c r="P384" s="43">
        <v>38</v>
      </c>
      <c r="Q384" s="43">
        <v>70122400</v>
      </c>
      <c r="R384" s="43">
        <v>3</v>
      </c>
      <c r="S384" s="43">
        <v>7729600</v>
      </c>
      <c r="T384" s="44">
        <f t="shared" si="30"/>
        <v>7061</v>
      </c>
      <c r="U384" s="44">
        <f t="shared" si="30"/>
        <v>2268777700</v>
      </c>
      <c r="V384" s="45">
        <f t="shared" si="31"/>
        <v>0.8141447264754057</v>
      </c>
      <c r="W384" s="44">
        <f t="shared" si="32"/>
        <v>5953</v>
      </c>
      <c r="X384" s="44">
        <f t="shared" si="33"/>
        <v>1854843000</v>
      </c>
      <c r="Y384" s="43">
        <f t="shared" si="34"/>
        <v>310282.78179069376</v>
      </c>
      <c r="Z384" s="45">
        <f t="shared" si="35"/>
        <v>3.4069446292600636E-3</v>
      </c>
    </row>
    <row r="385" spans="1:26">
      <c r="A385" s="42" t="s">
        <v>834</v>
      </c>
      <c r="B385" s="42" t="s">
        <v>835</v>
      </c>
      <c r="C385" s="42" t="s">
        <v>20</v>
      </c>
      <c r="D385" s="43">
        <v>134</v>
      </c>
      <c r="E385" s="43">
        <v>6847800</v>
      </c>
      <c r="F385" s="43">
        <v>3615</v>
      </c>
      <c r="G385" s="43">
        <v>481322400</v>
      </c>
      <c r="H385" s="43"/>
      <c r="I385" s="43"/>
      <c r="J385" s="43"/>
      <c r="K385" s="43"/>
      <c r="L385" s="43">
        <v>409</v>
      </c>
      <c r="M385" s="43">
        <v>193204700</v>
      </c>
      <c r="N385" s="43">
        <v>326</v>
      </c>
      <c r="O385" s="43">
        <v>110579800</v>
      </c>
      <c r="P385" s="43">
        <v>55</v>
      </c>
      <c r="Q385" s="43">
        <v>60546800</v>
      </c>
      <c r="R385" s="43">
        <v>28</v>
      </c>
      <c r="S385" s="43">
        <v>22078100</v>
      </c>
      <c r="T385" s="44">
        <f t="shared" si="30"/>
        <v>4158</v>
      </c>
      <c r="U385" s="44">
        <f t="shared" si="30"/>
        <v>681374900</v>
      </c>
      <c r="V385" s="45">
        <f t="shared" si="31"/>
        <v>0.70639878281398394</v>
      </c>
      <c r="W385" s="44">
        <f t="shared" si="32"/>
        <v>3615</v>
      </c>
      <c r="X385" s="44">
        <f t="shared" si="33"/>
        <v>503400500</v>
      </c>
      <c r="Y385" s="43">
        <f t="shared" si="34"/>
        <v>133145.89211618257</v>
      </c>
      <c r="Z385" s="45">
        <f t="shared" si="35"/>
        <v>3.240227956738647E-2</v>
      </c>
    </row>
    <row r="386" spans="1:26">
      <c r="A386" s="42" t="s">
        <v>836</v>
      </c>
      <c r="B386" s="42" t="s">
        <v>837</v>
      </c>
      <c r="C386" s="42" t="s">
        <v>20</v>
      </c>
      <c r="D386" s="43">
        <v>138</v>
      </c>
      <c r="E386" s="43">
        <v>25273000</v>
      </c>
      <c r="F386" s="43">
        <v>3928</v>
      </c>
      <c r="G386" s="43">
        <v>1412610900</v>
      </c>
      <c r="H386" s="43"/>
      <c r="I386" s="43"/>
      <c r="J386" s="43"/>
      <c r="K386" s="43"/>
      <c r="L386" s="43">
        <v>267</v>
      </c>
      <c r="M386" s="43">
        <v>1061940900</v>
      </c>
      <c r="N386" s="43">
        <v>177</v>
      </c>
      <c r="O386" s="43">
        <v>903419300</v>
      </c>
      <c r="P386" s="43">
        <v>90</v>
      </c>
      <c r="Q386" s="43">
        <v>158521600</v>
      </c>
      <c r="R386" s="43"/>
      <c r="S386" s="43"/>
      <c r="T386" s="44">
        <f t="shared" ref="T386:U449" si="36">R386+P386+N386+J386+H386+F386+D386</f>
        <v>4333</v>
      </c>
      <c r="U386" s="44">
        <f t="shared" si="36"/>
        <v>2499824800</v>
      </c>
      <c r="V386" s="45">
        <f t="shared" ref="V386:V449" si="37">(G386+I386)/U386</f>
        <v>0.56508396108399273</v>
      </c>
      <c r="W386" s="44">
        <f t="shared" ref="W386:W449" si="38">F386+H386</f>
        <v>3928</v>
      </c>
      <c r="X386" s="44">
        <f t="shared" ref="X386:X449" si="39">G386+I386+S386</f>
        <v>1412610900</v>
      </c>
      <c r="Y386" s="43">
        <f t="shared" ref="Y386:Y449" si="40">(G386+I386)/(H386+F386)</f>
        <v>359625.99287169043</v>
      </c>
      <c r="Z386" s="45">
        <f t="shared" ref="Z386:Z449" si="41">S386/U386</f>
        <v>0</v>
      </c>
    </row>
    <row r="387" spans="1:26">
      <c r="A387" s="42" t="s">
        <v>838</v>
      </c>
      <c r="B387" s="42" t="s">
        <v>839</v>
      </c>
      <c r="C387" s="42" t="s">
        <v>20</v>
      </c>
      <c r="D387" s="43">
        <v>90</v>
      </c>
      <c r="E387" s="43">
        <v>64246500</v>
      </c>
      <c r="F387" s="43">
        <v>3051</v>
      </c>
      <c r="G387" s="43">
        <v>1989080900</v>
      </c>
      <c r="H387" s="43">
        <v>1</v>
      </c>
      <c r="I387" s="43">
        <v>716800</v>
      </c>
      <c r="J387" s="43">
        <v>1</v>
      </c>
      <c r="K387" s="43">
        <v>119800</v>
      </c>
      <c r="L387" s="43">
        <v>220</v>
      </c>
      <c r="M387" s="43">
        <v>1255575600</v>
      </c>
      <c r="N387" s="43">
        <v>201</v>
      </c>
      <c r="O387" s="43">
        <v>917460600</v>
      </c>
      <c r="P387" s="43">
        <v>15</v>
      </c>
      <c r="Q387" s="43">
        <v>178344300</v>
      </c>
      <c r="R387" s="43">
        <v>4</v>
      </c>
      <c r="S387" s="43">
        <v>159770700</v>
      </c>
      <c r="T387" s="44">
        <f t="shared" si="36"/>
        <v>3363</v>
      </c>
      <c r="U387" s="44">
        <f t="shared" si="36"/>
        <v>3309739600</v>
      </c>
      <c r="V387" s="45">
        <f t="shared" si="37"/>
        <v>0.60119463778963156</v>
      </c>
      <c r="W387" s="44">
        <f t="shared" si="38"/>
        <v>3052</v>
      </c>
      <c r="X387" s="44">
        <f t="shared" si="39"/>
        <v>2149568400</v>
      </c>
      <c r="Y387" s="43">
        <f t="shared" si="40"/>
        <v>651965.17038007861</v>
      </c>
      <c r="Z387" s="45">
        <f t="shared" si="41"/>
        <v>4.827289131749217E-2</v>
      </c>
    </row>
    <row r="388" spans="1:26">
      <c r="A388" s="42" t="s">
        <v>840</v>
      </c>
      <c r="B388" s="42" t="s">
        <v>841</v>
      </c>
      <c r="C388" s="42" t="s">
        <v>20</v>
      </c>
      <c r="D388" s="43">
        <v>357</v>
      </c>
      <c r="E388" s="43">
        <v>74908200</v>
      </c>
      <c r="F388" s="43">
        <v>4771</v>
      </c>
      <c r="G388" s="43">
        <v>1139038922</v>
      </c>
      <c r="H388" s="43">
        <v>2</v>
      </c>
      <c r="I388" s="43">
        <v>9100</v>
      </c>
      <c r="J388" s="43">
        <v>1</v>
      </c>
      <c r="K388" s="43">
        <v>3800</v>
      </c>
      <c r="L388" s="43">
        <v>357</v>
      </c>
      <c r="M388" s="43">
        <v>814681111</v>
      </c>
      <c r="N388" s="43">
        <v>210</v>
      </c>
      <c r="O388" s="43">
        <v>573242511</v>
      </c>
      <c r="P388" s="43">
        <v>141</v>
      </c>
      <c r="Q388" s="43">
        <v>212569800</v>
      </c>
      <c r="R388" s="43">
        <v>6</v>
      </c>
      <c r="S388" s="43">
        <v>28868800</v>
      </c>
      <c r="T388" s="44">
        <f t="shared" si="36"/>
        <v>5488</v>
      </c>
      <c r="U388" s="44">
        <f t="shared" si="36"/>
        <v>2028641133</v>
      </c>
      <c r="V388" s="45">
        <f t="shared" si="37"/>
        <v>0.56148325274049349</v>
      </c>
      <c r="W388" s="44">
        <f t="shared" si="38"/>
        <v>4773</v>
      </c>
      <c r="X388" s="44">
        <f t="shared" si="39"/>
        <v>1167916822</v>
      </c>
      <c r="Y388" s="43">
        <f t="shared" si="40"/>
        <v>238644.04399748586</v>
      </c>
      <c r="Z388" s="45">
        <f t="shared" si="41"/>
        <v>1.4230609608762183E-2</v>
      </c>
    </row>
    <row r="389" spans="1:26">
      <c r="A389" s="42" t="s">
        <v>842</v>
      </c>
      <c r="B389" s="42" t="s">
        <v>843</v>
      </c>
      <c r="C389" s="42" t="s">
        <v>20</v>
      </c>
      <c r="D389" s="43">
        <v>197</v>
      </c>
      <c r="E389" s="43">
        <v>64900900</v>
      </c>
      <c r="F389" s="43">
        <v>1399</v>
      </c>
      <c r="G389" s="43">
        <v>1673994363</v>
      </c>
      <c r="H389" s="43">
        <v>89</v>
      </c>
      <c r="I389" s="43">
        <v>176975700</v>
      </c>
      <c r="J389" s="43">
        <v>153</v>
      </c>
      <c r="K389" s="43">
        <v>1818708</v>
      </c>
      <c r="L389" s="43">
        <v>46</v>
      </c>
      <c r="M389" s="43">
        <v>81813700</v>
      </c>
      <c r="N389" s="43">
        <v>43</v>
      </c>
      <c r="O389" s="43">
        <v>72171800</v>
      </c>
      <c r="P389" s="43">
        <v>3</v>
      </c>
      <c r="Q389" s="43">
        <v>9641900</v>
      </c>
      <c r="R389" s="43"/>
      <c r="S389" s="43"/>
      <c r="T389" s="44">
        <f t="shared" si="36"/>
        <v>1884</v>
      </c>
      <c r="U389" s="44">
        <f t="shared" si="36"/>
        <v>1999503371</v>
      </c>
      <c r="V389" s="45">
        <f t="shared" si="37"/>
        <v>0.92571489993251932</v>
      </c>
      <c r="W389" s="44">
        <f t="shared" si="38"/>
        <v>1488</v>
      </c>
      <c r="X389" s="44">
        <f t="shared" si="39"/>
        <v>1850970063</v>
      </c>
      <c r="Y389" s="43">
        <f t="shared" si="40"/>
        <v>1243931.4939516129</v>
      </c>
      <c r="Z389" s="45">
        <f t="shared" si="41"/>
        <v>0</v>
      </c>
    </row>
    <row r="390" spans="1:26">
      <c r="A390" s="42" t="s">
        <v>844</v>
      </c>
      <c r="B390" s="42" t="s">
        <v>845</v>
      </c>
      <c r="C390" s="42" t="s">
        <v>20</v>
      </c>
      <c r="D390" s="43">
        <v>729</v>
      </c>
      <c r="E390" s="43">
        <v>78063400</v>
      </c>
      <c r="F390" s="43">
        <v>7860</v>
      </c>
      <c r="G390" s="43">
        <v>2925030400</v>
      </c>
      <c r="H390" s="43">
        <v>18</v>
      </c>
      <c r="I390" s="43">
        <v>8940600</v>
      </c>
      <c r="J390" s="43">
        <v>42</v>
      </c>
      <c r="K390" s="43">
        <v>375500</v>
      </c>
      <c r="L390" s="43">
        <v>250</v>
      </c>
      <c r="M390" s="43">
        <v>225510000</v>
      </c>
      <c r="N390" s="43">
        <v>213</v>
      </c>
      <c r="O390" s="43">
        <v>194892100</v>
      </c>
      <c r="P390" s="43">
        <v>11</v>
      </c>
      <c r="Q390" s="43">
        <v>6106400</v>
      </c>
      <c r="R390" s="43">
        <v>26</v>
      </c>
      <c r="S390" s="43">
        <v>24511500</v>
      </c>
      <c r="T390" s="44">
        <f t="shared" si="36"/>
        <v>8899</v>
      </c>
      <c r="U390" s="44">
        <f t="shared" si="36"/>
        <v>3237919900</v>
      </c>
      <c r="V390" s="45">
        <f t="shared" si="37"/>
        <v>0.90612834492910088</v>
      </c>
      <c r="W390" s="44">
        <f t="shared" si="38"/>
        <v>7878</v>
      </c>
      <c r="X390" s="44">
        <f t="shared" si="39"/>
        <v>2958482500</v>
      </c>
      <c r="Y390" s="43">
        <f t="shared" si="40"/>
        <v>372425.86951002793</v>
      </c>
      <c r="Z390" s="45">
        <f t="shared" si="41"/>
        <v>7.5701378530086553E-3</v>
      </c>
    </row>
    <row r="391" spans="1:26">
      <c r="A391" s="42" t="s">
        <v>846</v>
      </c>
      <c r="B391" s="42" t="s">
        <v>847</v>
      </c>
      <c r="C391" s="42" t="s">
        <v>20</v>
      </c>
      <c r="D391" s="43">
        <v>329</v>
      </c>
      <c r="E391" s="43">
        <v>41568100</v>
      </c>
      <c r="F391" s="43">
        <v>3399</v>
      </c>
      <c r="G391" s="43">
        <v>1535171700</v>
      </c>
      <c r="H391" s="43">
        <v>4</v>
      </c>
      <c r="I391" s="43">
        <v>3156600</v>
      </c>
      <c r="J391" s="43">
        <v>10</v>
      </c>
      <c r="K391" s="43">
        <v>21400</v>
      </c>
      <c r="L391" s="43">
        <v>96</v>
      </c>
      <c r="M391" s="43">
        <v>80160200</v>
      </c>
      <c r="N391" s="43">
        <v>94</v>
      </c>
      <c r="O391" s="43">
        <v>61800100</v>
      </c>
      <c r="P391" s="43"/>
      <c r="Q391" s="43"/>
      <c r="R391" s="43">
        <v>2</v>
      </c>
      <c r="S391" s="43">
        <v>18360100</v>
      </c>
      <c r="T391" s="44">
        <f t="shared" si="36"/>
        <v>3838</v>
      </c>
      <c r="U391" s="44">
        <f t="shared" si="36"/>
        <v>1660078000</v>
      </c>
      <c r="V391" s="45">
        <f t="shared" si="37"/>
        <v>0.92666025331339852</v>
      </c>
      <c r="W391" s="44">
        <f t="shared" si="38"/>
        <v>3403</v>
      </c>
      <c r="X391" s="44">
        <f t="shared" si="39"/>
        <v>1556688400</v>
      </c>
      <c r="Y391" s="43">
        <f t="shared" si="40"/>
        <v>452050.63179547456</v>
      </c>
      <c r="Z391" s="45">
        <f t="shared" si="41"/>
        <v>1.1059781528337824E-2</v>
      </c>
    </row>
    <row r="392" spans="1:26">
      <c r="A392" s="42" t="s">
        <v>848</v>
      </c>
      <c r="B392" s="42" t="s">
        <v>849</v>
      </c>
      <c r="C392" s="42" t="s">
        <v>20</v>
      </c>
      <c r="D392" s="43">
        <v>133</v>
      </c>
      <c r="E392" s="43">
        <v>5160800</v>
      </c>
      <c r="F392" s="43">
        <v>3594</v>
      </c>
      <c r="G392" s="43">
        <v>618574400</v>
      </c>
      <c r="H392" s="43">
        <v>14</v>
      </c>
      <c r="I392" s="43">
        <v>2953000</v>
      </c>
      <c r="J392" s="43">
        <v>18</v>
      </c>
      <c r="K392" s="43">
        <v>318400</v>
      </c>
      <c r="L392" s="43">
        <v>103</v>
      </c>
      <c r="M392" s="43">
        <v>110996500</v>
      </c>
      <c r="N392" s="43">
        <v>75</v>
      </c>
      <c r="O392" s="43">
        <v>49887600</v>
      </c>
      <c r="P392" s="43">
        <v>26</v>
      </c>
      <c r="Q392" s="43">
        <v>38154800</v>
      </c>
      <c r="R392" s="43">
        <v>2</v>
      </c>
      <c r="S392" s="43">
        <v>22954100</v>
      </c>
      <c r="T392" s="44">
        <f t="shared" si="36"/>
        <v>3862</v>
      </c>
      <c r="U392" s="44">
        <f t="shared" si="36"/>
        <v>738003100</v>
      </c>
      <c r="V392" s="45">
        <f t="shared" si="37"/>
        <v>0.84217451119107767</v>
      </c>
      <c r="W392" s="44">
        <f t="shared" si="38"/>
        <v>3608</v>
      </c>
      <c r="X392" s="44">
        <f t="shared" si="39"/>
        <v>644481500</v>
      </c>
      <c r="Y392" s="43">
        <f t="shared" si="40"/>
        <v>172263.69179600888</v>
      </c>
      <c r="Z392" s="45">
        <f t="shared" si="41"/>
        <v>3.1102985881766621E-2</v>
      </c>
    </row>
    <row r="393" spans="1:26">
      <c r="A393" s="42" t="s">
        <v>850</v>
      </c>
      <c r="B393" s="42" t="s">
        <v>851</v>
      </c>
      <c r="C393" s="42" t="s">
        <v>20</v>
      </c>
      <c r="D393" s="43">
        <v>73</v>
      </c>
      <c r="E393" s="43">
        <v>15215000</v>
      </c>
      <c r="F393" s="43">
        <v>4196</v>
      </c>
      <c r="G393" s="43">
        <v>1706375600</v>
      </c>
      <c r="H393" s="43"/>
      <c r="I393" s="43"/>
      <c r="J393" s="43"/>
      <c r="K393" s="43"/>
      <c r="L393" s="43">
        <v>266</v>
      </c>
      <c r="M393" s="43">
        <v>395919700</v>
      </c>
      <c r="N393" s="43">
        <v>223</v>
      </c>
      <c r="O393" s="43">
        <v>343862800</v>
      </c>
      <c r="P393" s="43">
        <v>6</v>
      </c>
      <c r="Q393" s="43">
        <v>3422000</v>
      </c>
      <c r="R393" s="43">
        <v>37</v>
      </c>
      <c r="S393" s="43">
        <v>48634900</v>
      </c>
      <c r="T393" s="44">
        <f t="shared" si="36"/>
        <v>4535</v>
      </c>
      <c r="U393" s="44">
        <f t="shared" si="36"/>
        <v>2117510300</v>
      </c>
      <c r="V393" s="45">
        <f t="shared" si="37"/>
        <v>0.80584051940621015</v>
      </c>
      <c r="W393" s="44">
        <f t="shared" si="38"/>
        <v>4196</v>
      </c>
      <c r="X393" s="44">
        <f t="shared" si="39"/>
        <v>1755010500</v>
      </c>
      <c r="Y393" s="43">
        <f t="shared" si="40"/>
        <v>406667.20686367969</v>
      </c>
      <c r="Z393" s="45">
        <f t="shared" si="41"/>
        <v>2.2967963839420284E-2</v>
      </c>
    </row>
    <row r="394" spans="1:26">
      <c r="A394" s="42" t="s">
        <v>852</v>
      </c>
      <c r="B394" s="42" t="s">
        <v>853</v>
      </c>
      <c r="C394" s="42" t="s">
        <v>20</v>
      </c>
      <c r="D394" s="43">
        <v>38</v>
      </c>
      <c r="E394" s="43">
        <v>14076500</v>
      </c>
      <c r="F394" s="43">
        <v>1623</v>
      </c>
      <c r="G394" s="43">
        <v>1369811900</v>
      </c>
      <c r="H394" s="43">
        <v>35</v>
      </c>
      <c r="I394" s="43">
        <v>81641900</v>
      </c>
      <c r="J394" s="43">
        <v>56</v>
      </c>
      <c r="K394" s="43">
        <v>696740</v>
      </c>
      <c r="L394" s="43">
        <v>88</v>
      </c>
      <c r="M394" s="43">
        <v>120383800</v>
      </c>
      <c r="N394" s="43">
        <v>84</v>
      </c>
      <c r="O394" s="43">
        <v>117908800</v>
      </c>
      <c r="P394" s="43"/>
      <c r="Q394" s="43"/>
      <c r="R394" s="43">
        <v>4</v>
      </c>
      <c r="S394" s="43">
        <v>2475000</v>
      </c>
      <c r="T394" s="44">
        <f t="shared" si="36"/>
        <v>1840</v>
      </c>
      <c r="U394" s="44">
        <f t="shared" si="36"/>
        <v>1586610840</v>
      </c>
      <c r="V394" s="45">
        <f t="shared" si="37"/>
        <v>0.91481399433776711</v>
      </c>
      <c r="W394" s="44">
        <f t="shared" si="38"/>
        <v>1658</v>
      </c>
      <c r="X394" s="44">
        <f t="shared" si="39"/>
        <v>1453928800</v>
      </c>
      <c r="Y394" s="43">
        <f t="shared" si="40"/>
        <v>875424.48733413755</v>
      </c>
      <c r="Z394" s="45">
        <f t="shared" si="41"/>
        <v>1.5599288354792786E-3</v>
      </c>
    </row>
    <row r="395" spans="1:26">
      <c r="A395" s="42" t="s">
        <v>854</v>
      </c>
      <c r="B395" s="42" t="s">
        <v>855</v>
      </c>
      <c r="C395" s="42" t="s">
        <v>20</v>
      </c>
      <c r="D395" s="43">
        <v>103</v>
      </c>
      <c r="E395" s="43">
        <v>45234600</v>
      </c>
      <c r="F395" s="43">
        <v>1944</v>
      </c>
      <c r="G395" s="43">
        <v>2004169550</v>
      </c>
      <c r="H395" s="43">
        <v>61</v>
      </c>
      <c r="I395" s="43">
        <v>96458500</v>
      </c>
      <c r="J395" s="43">
        <v>117</v>
      </c>
      <c r="K395" s="43">
        <v>1439900</v>
      </c>
      <c r="L395" s="43">
        <v>8</v>
      </c>
      <c r="M395" s="43">
        <v>11201500</v>
      </c>
      <c r="N395" s="43">
        <v>7</v>
      </c>
      <c r="O395" s="43">
        <v>11198500</v>
      </c>
      <c r="P395" s="43">
        <v>1</v>
      </c>
      <c r="Q395" s="43">
        <v>3000</v>
      </c>
      <c r="R395" s="43"/>
      <c r="S395" s="43"/>
      <c r="T395" s="44">
        <f t="shared" si="36"/>
        <v>2233</v>
      </c>
      <c r="U395" s="44">
        <f t="shared" si="36"/>
        <v>2158504050</v>
      </c>
      <c r="V395" s="45">
        <f t="shared" si="37"/>
        <v>0.97318698568112483</v>
      </c>
      <c r="W395" s="44">
        <f t="shared" si="38"/>
        <v>2005</v>
      </c>
      <c r="X395" s="44">
        <f t="shared" si="39"/>
        <v>2100628050</v>
      </c>
      <c r="Y395" s="43">
        <f t="shared" si="40"/>
        <v>1047694.7880299252</v>
      </c>
      <c r="Z395" s="45">
        <f t="shared" si="41"/>
        <v>0</v>
      </c>
    </row>
    <row r="396" spans="1:26">
      <c r="A396" s="42" t="s">
        <v>856</v>
      </c>
      <c r="B396" s="42" t="s">
        <v>857</v>
      </c>
      <c r="C396" s="42" t="s">
        <v>20</v>
      </c>
      <c r="D396" s="43">
        <v>105</v>
      </c>
      <c r="E396" s="43">
        <v>20309600</v>
      </c>
      <c r="F396" s="43">
        <v>1335</v>
      </c>
      <c r="G396" s="43">
        <v>454795300</v>
      </c>
      <c r="H396" s="43"/>
      <c r="I396" s="43"/>
      <c r="J396" s="43">
        <v>2</v>
      </c>
      <c r="K396" s="43">
        <v>23700</v>
      </c>
      <c r="L396" s="43">
        <v>65</v>
      </c>
      <c r="M396" s="43">
        <v>48314600</v>
      </c>
      <c r="N396" s="43">
        <v>56</v>
      </c>
      <c r="O396" s="43">
        <v>28936700</v>
      </c>
      <c r="P396" s="43">
        <v>8</v>
      </c>
      <c r="Q396" s="43">
        <v>18655600</v>
      </c>
      <c r="R396" s="43">
        <v>1</v>
      </c>
      <c r="S396" s="43">
        <v>722300</v>
      </c>
      <c r="T396" s="44">
        <f t="shared" si="36"/>
        <v>1507</v>
      </c>
      <c r="U396" s="44">
        <f t="shared" si="36"/>
        <v>523443200</v>
      </c>
      <c r="V396" s="45">
        <f t="shared" si="37"/>
        <v>0.86885320126424415</v>
      </c>
      <c r="W396" s="44">
        <f t="shared" si="38"/>
        <v>1335</v>
      </c>
      <c r="X396" s="44">
        <f t="shared" si="39"/>
        <v>455517600</v>
      </c>
      <c r="Y396" s="43">
        <f t="shared" si="40"/>
        <v>340670.63670411985</v>
      </c>
      <c r="Z396" s="45">
        <f t="shared" si="41"/>
        <v>1.3799013914021618E-3</v>
      </c>
    </row>
    <row r="397" spans="1:26">
      <c r="A397" s="42" t="s">
        <v>858</v>
      </c>
      <c r="B397" s="42" t="s">
        <v>859</v>
      </c>
      <c r="C397" s="42" t="s">
        <v>20</v>
      </c>
      <c r="D397" s="43">
        <v>367</v>
      </c>
      <c r="E397" s="43">
        <v>52196600</v>
      </c>
      <c r="F397" s="43">
        <v>6979</v>
      </c>
      <c r="G397" s="43">
        <v>2322318300</v>
      </c>
      <c r="H397" s="43">
        <v>21</v>
      </c>
      <c r="I397" s="43">
        <v>6376500</v>
      </c>
      <c r="J397" s="43">
        <v>40</v>
      </c>
      <c r="K397" s="43">
        <v>177800</v>
      </c>
      <c r="L397" s="43">
        <v>369</v>
      </c>
      <c r="M397" s="43">
        <v>434938000</v>
      </c>
      <c r="N397" s="43">
        <v>284</v>
      </c>
      <c r="O397" s="43">
        <v>154714800</v>
      </c>
      <c r="P397" s="43">
        <v>81</v>
      </c>
      <c r="Q397" s="43">
        <v>235076800</v>
      </c>
      <c r="R397" s="43">
        <v>4</v>
      </c>
      <c r="S397" s="43">
        <v>45146400</v>
      </c>
      <c r="T397" s="44">
        <f t="shared" si="36"/>
        <v>7776</v>
      </c>
      <c r="U397" s="44">
        <f t="shared" si="36"/>
        <v>2816007200</v>
      </c>
      <c r="V397" s="45">
        <f t="shared" si="37"/>
        <v>0.82694916405043284</v>
      </c>
      <c r="W397" s="44">
        <f t="shared" si="38"/>
        <v>7000</v>
      </c>
      <c r="X397" s="44">
        <f t="shared" si="39"/>
        <v>2373841200</v>
      </c>
      <c r="Y397" s="43">
        <f t="shared" si="40"/>
        <v>332670.6857142857</v>
      </c>
      <c r="Z397" s="45">
        <f t="shared" si="41"/>
        <v>1.6032061281661496E-2</v>
      </c>
    </row>
    <row r="398" spans="1:26">
      <c r="A398" s="42" t="s">
        <v>860</v>
      </c>
      <c r="B398" s="42" t="s">
        <v>861</v>
      </c>
      <c r="C398" s="42" t="s">
        <v>20</v>
      </c>
      <c r="D398" s="43">
        <v>258</v>
      </c>
      <c r="E398" s="43">
        <v>26290650</v>
      </c>
      <c r="F398" s="43">
        <v>7606</v>
      </c>
      <c r="G398" s="43">
        <v>3000337500</v>
      </c>
      <c r="H398" s="43">
        <v>5</v>
      </c>
      <c r="I398" s="43">
        <v>5908400</v>
      </c>
      <c r="J398" s="43">
        <v>8</v>
      </c>
      <c r="K398" s="43">
        <v>48300</v>
      </c>
      <c r="L398" s="43">
        <v>167</v>
      </c>
      <c r="M398" s="43">
        <v>728732200</v>
      </c>
      <c r="N398" s="43">
        <v>142</v>
      </c>
      <c r="O398" s="43">
        <v>551095200</v>
      </c>
      <c r="P398" s="43">
        <v>21</v>
      </c>
      <c r="Q398" s="43">
        <v>146472000</v>
      </c>
      <c r="R398" s="43">
        <v>4</v>
      </c>
      <c r="S398" s="43">
        <v>31165000</v>
      </c>
      <c r="T398" s="44">
        <f t="shared" si="36"/>
        <v>8044</v>
      </c>
      <c r="U398" s="44">
        <f t="shared" si="36"/>
        <v>3761317050</v>
      </c>
      <c r="V398" s="45">
        <f t="shared" si="37"/>
        <v>0.7992535221140159</v>
      </c>
      <c r="W398" s="44">
        <f t="shared" si="38"/>
        <v>7611</v>
      </c>
      <c r="X398" s="44">
        <f t="shared" si="39"/>
        <v>3037410900</v>
      </c>
      <c r="Y398" s="43">
        <f t="shared" si="40"/>
        <v>394986.97937196161</v>
      </c>
      <c r="Z398" s="45">
        <f t="shared" si="41"/>
        <v>8.2856615344351261E-3</v>
      </c>
    </row>
    <row r="399" spans="1:26">
      <c r="A399" s="42" t="s">
        <v>862</v>
      </c>
      <c r="B399" s="42" t="s">
        <v>863</v>
      </c>
      <c r="C399" s="42" t="s">
        <v>20</v>
      </c>
      <c r="D399" s="43">
        <v>186</v>
      </c>
      <c r="E399" s="43">
        <v>4603600</v>
      </c>
      <c r="F399" s="43">
        <v>1937</v>
      </c>
      <c r="G399" s="43">
        <v>456506370</v>
      </c>
      <c r="H399" s="43"/>
      <c r="I399" s="43"/>
      <c r="J399" s="43"/>
      <c r="K399" s="43"/>
      <c r="L399" s="43">
        <v>100</v>
      </c>
      <c r="M399" s="43">
        <v>312798400</v>
      </c>
      <c r="N399" s="43">
        <v>96</v>
      </c>
      <c r="O399" s="43">
        <v>250380800</v>
      </c>
      <c r="P399" s="43">
        <v>3</v>
      </c>
      <c r="Q399" s="43">
        <v>52005000</v>
      </c>
      <c r="R399" s="43">
        <v>1</v>
      </c>
      <c r="S399" s="43">
        <v>10412600</v>
      </c>
      <c r="T399" s="44">
        <f t="shared" si="36"/>
        <v>2223</v>
      </c>
      <c r="U399" s="44">
        <f t="shared" si="36"/>
        <v>773908370</v>
      </c>
      <c r="V399" s="45">
        <f t="shared" si="37"/>
        <v>0.58987134355453474</v>
      </c>
      <c r="W399" s="44">
        <f t="shared" si="38"/>
        <v>1937</v>
      </c>
      <c r="X399" s="44">
        <f t="shared" si="39"/>
        <v>466918970</v>
      </c>
      <c r="Y399" s="43">
        <f t="shared" si="40"/>
        <v>235677.01084150749</v>
      </c>
      <c r="Z399" s="45">
        <f t="shared" si="41"/>
        <v>1.3454564395007125E-2</v>
      </c>
    </row>
    <row r="400" spans="1:26">
      <c r="A400" s="42" t="s">
        <v>864</v>
      </c>
      <c r="B400" s="42" t="s">
        <v>865</v>
      </c>
      <c r="C400" s="42" t="s">
        <v>20</v>
      </c>
      <c r="D400" s="43">
        <v>217</v>
      </c>
      <c r="E400" s="43">
        <v>49435100</v>
      </c>
      <c r="F400" s="43">
        <v>3382</v>
      </c>
      <c r="G400" s="43">
        <v>1195501242</v>
      </c>
      <c r="H400" s="43"/>
      <c r="I400" s="43"/>
      <c r="J400" s="43"/>
      <c r="K400" s="43"/>
      <c r="L400" s="43">
        <v>614</v>
      </c>
      <c r="M400" s="43">
        <v>1013047600</v>
      </c>
      <c r="N400" s="43">
        <v>533</v>
      </c>
      <c r="O400" s="43">
        <v>824460800</v>
      </c>
      <c r="P400" s="43">
        <v>10</v>
      </c>
      <c r="Q400" s="43">
        <v>11665100</v>
      </c>
      <c r="R400" s="43">
        <v>71</v>
      </c>
      <c r="S400" s="43">
        <v>176921700</v>
      </c>
      <c r="T400" s="44">
        <f t="shared" si="36"/>
        <v>4213</v>
      </c>
      <c r="U400" s="44">
        <f t="shared" si="36"/>
        <v>2257983942</v>
      </c>
      <c r="V400" s="45">
        <f t="shared" si="37"/>
        <v>0.52945515677188104</v>
      </c>
      <c r="W400" s="44">
        <f t="shared" si="38"/>
        <v>3382</v>
      </c>
      <c r="X400" s="44">
        <f t="shared" si="39"/>
        <v>1372422942</v>
      </c>
      <c r="Y400" s="43">
        <f t="shared" si="40"/>
        <v>353489.42696629214</v>
      </c>
      <c r="Z400" s="45">
        <f t="shared" si="41"/>
        <v>7.8353834457871446E-2</v>
      </c>
    </row>
    <row r="401" spans="1:26">
      <c r="A401" s="42" t="s">
        <v>866</v>
      </c>
      <c r="B401" s="42" t="s">
        <v>867</v>
      </c>
      <c r="C401" s="42" t="s">
        <v>20</v>
      </c>
      <c r="D401" s="43">
        <v>37</v>
      </c>
      <c r="E401" s="43">
        <v>10037300</v>
      </c>
      <c r="F401" s="43">
        <v>1354</v>
      </c>
      <c r="G401" s="43">
        <v>1364323300</v>
      </c>
      <c r="H401" s="43"/>
      <c r="I401" s="43"/>
      <c r="J401" s="43">
        <v>3</v>
      </c>
      <c r="K401" s="43">
        <v>1500</v>
      </c>
      <c r="L401" s="43">
        <v>78</v>
      </c>
      <c r="M401" s="43">
        <v>101796300</v>
      </c>
      <c r="N401" s="43">
        <v>75</v>
      </c>
      <c r="O401" s="43">
        <v>98570200</v>
      </c>
      <c r="P401" s="43">
        <v>3</v>
      </c>
      <c r="Q401" s="43">
        <v>3226100</v>
      </c>
      <c r="R401" s="43"/>
      <c r="S401" s="43"/>
      <c r="T401" s="44">
        <f t="shared" si="36"/>
        <v>1472</v>
      </c>
      <c r="U401" s="44">
        <f t="shared" si="36"/>
        <v>1476158400</v>
      </c>
      <c r="V401" s="45">
        <f t="shared" si="37"/>
        <v>0.92423909249847447</v>
      </c>
      <c r="W401" s="44">
        <f t="shared" si="38"/>
        <v>1354</v>
      </c>
      <c r="X401" s="44">
        <f t="shared" si="39"/>
        <v>1364323300</v>
      </c>
      <c r="Y401" s="43">
        <f t="shared" si="40"/>
        <v>1007624.2983751846</v>
      </c>
      <c r="Z401" s="45">
        <f t="shared" si="41"/>
        <v>0</v>
      </c>
    </row>
    <row r="402" spans="1:26">
      <c r="A402" s="42" t="s">
        <v>868</v>
      </c>
      <c r="B402" s="42" t="s">
        <v>869</v>
      </c>
      <c r="C402" s="42" t="s">
        <v>20</v>
      </c>
      <c r="D402" s="43">
        <v>207</v>
      </c>
      <c r="E402" s="43">
        <v>17062800</v>
      </c>
      <c r="F402" s="43">
        <v>1991</v>
      </c>
      <c r="G402" s="43">
        <v>583095900</v>
      </c>
      <c r="H402" s="43"/>
      <c r="I402" s="43"/>
      <c r="J402" s="43">
        <v>9</v>
      </c>
      <c r="K402" s="43">
        <v>6600</v>
      </c>
      <c r="L402" s="43">
        <v>54</v>
      </c>
      <c r="M402" s="43">
        <v>90537600</v>
      </c>
      <c r="N402" s="43">
        <v>46</v>
      </c>
      <c r="O402" s="43">
        <v>69103400</v>
      </c>
      <c r="P402" s="43">
        <v>1</v>
      </c>
      <c r="Q402" s="43">
        <v>234200</v>
      </c>
      <c r="R402" s="43">
        <v>7</v>
      </c>
      <c r="S402" s="43">
        <v>21200000</v>
      </c>
      <c r="T402" s="44">
        <f t="shared" si="36"/>
        <v>2261</v>
      </c>
      <c r="U402" s="44">
        <f t="shared" si="36"/>
        <v>690702900</v>
      </c>
      <c r="V402" s="45">
        <f t="shared" si="37"/>
        <v>0.84420653221522601</v>
      </c>
      <c r="W402" s="44">
        <f t="shared" si="38"/>
        <v>1991</v>
      </c>
      <c r="X402" s="44">
        <f t="shared" si="39"/>
        <v>604295900</v>
      </c>
      <c r="Y402" s="43">
        <f t="shared" si="40"/>
        <v>292865.84630838776</v>
      </c>
      <c r="Z402" s="45">
        <f t="shared" si="41"/>
        <v>3.0693370478102815E-2</v>
      </c>
    </row>
    <row r="403" spans="1:26">
      <c r="A403" s="42" t="s">
        <v>870</v>
      </c>
      <c r="B403" s="42" t="s">
        <v>871</v>
      </c>
      <c r="C403" s="42" t="s">
        <v>20</v>
      </c>
      <c r="D403" s="43">
        <v>1172</v>
      </c>
      <c r="E403" s="43">
        <v>134976400</v>
      </c>
      <c r="F403" s="43">
        <v>6284</v>
      </c>
      <c r="G403" s="43">
        <v>2374738900</v>
      </c>
      <c r="H403" s="43">
        <v>33</v>
      </c>
      <c r="I403" s="43">
        <v>14894800</v>
      </c>
      <c r="J403" s="43">
        <v>92</v>
      </c>
      <c r="K403" s="43">
        <v>1371600</v>
      </c>
      <c r="L403" s="43">
        <v>394</v>
      </c>
      <c r="M403" s="43">
        <v>1141548950</v>
      </c>
      <c r="N403" s="43">
        <v>328</v>
      </c>
      <c r="O403" s="43">
        <v>523154950</v>
      </c>
      <c r="P403" s="43">
        <v>60</v>
      </c>
      <c r="Q403" s="43">
        <v>368387300</v>
      </c>
      <c r="R403" s="43">
        <v>6</v>
      </c>
      <c r="S403" s="43">
        <v>250006700</v>
      </c>
      <c r="T403" s="44">
        <f t="shared" si="36"/>
        <v>7975</v>
      </c>
      <c r="U403" s="44">
        <f t="shared" si="36"/>
        <v>3667530650</v>
      </c>
      <c r="V403" s="45">
        <f t="shared" si="37"/>
        <v>0.65156475243090339</v>
      </c>
      <c r="W403" s="44">
        <f t="shared" si="38"/>
        <v>6317</v>
      </c>
      <c r="X403" s="44">
        <f t="shared" si="39"/>
        <v>2639640400</v>
      </c>
      <c r="Y403" s="43">
        <f t="shared" si="40"/>
        <v>378286.16431850562</v>
      </c>
      <c r="Z403" s="45">
        <f t="shared" si="41"/>
        <v>6.8167583003021393E-2</v>
      </c>
    </row>
    <row r="404" spans="1:26">
      <c r="A404" s="42" t="s">
        <v>872</v>
      </c>
      <c r="B404" s="42" t="s">
        <v>873</v>
      </c>
      <c r="C404" s="42" t="s">
        <v>20</v>
      </c>
      <c r="D404" s="43">
        <v>44</v>
      </c>
      <c r="E404" s="43">
        <v>6520600</v>
      </c>
      <c r="F404" s="43">
        <v>817</v>
      </c>
      <c r="G404" s="43">
        <v>240262300</v>
      </c>
      <c r="H404" s="43"/>
      <c r="I404" s="43"/>
      <c r="J404" s="43"/>
      <c r="K404" s="43"/>
      <c r="L404" s="43">
        <v>85</v>
      </c>
      <c r="M404" s="43">
        <v>91542200</v>
      </c>
      <c r="N404" s="43">
        <v>76</v>
      </c>
      <c r="O404" s="43">
        <v>44059600</v>
      </c>
      <c r="P404" s="43">
        <v>6</v>
      </c>
      <c r="Q404" s="43">
        <v>20396900</v>
      </c>
      <c r="R404" s="43">
        <v>3</v>
      </c>
      <c r="S404" s="43">
        <v>27085700</v>
      </c>
      <c r="T404" s="44">
        <f t="shared" si="36"/>
        <v>946</v>
      </c>
      <c r="U404" s="44">
        <f t="shared" si="36"/>
        <v>338325100</v>
      </c>
      <c r="V404" s="45">
        <f t="shared" si="37"/>
        <v>0.7101521583825734</v>
      </c>
      <c r="W404" s="44">
        <f t="shared" si="38"/>
        <v>817</v>
      </c>
      <c r="X404" s="44">
        <f t="shared" si="39"/>
        <v>267348000</v>
      </c>
      <c r="Y404" s="43">
        <f t="shared" si="40"/>
        <v>294078.70257037942</v>
      </c>
      <c r="Z404" s="45">
        <f t="shared" si="41"/>
        <v>8.0058204372066982E-2</v>
      </c>
    </row>
    <row r="405" spans="1:26">
      <c r="A405" s="42" t="s">
        <v>874</v>
      </c>
      <c r="B405" s="42" t="s">
        <v>875</v>
      </c>
      <c r="C405" s="42" t="s">
        <v>20</v>
      </c>
      <c r="D405" s="43">
        <v>499</v>
      </c>
      <c r="E405" s="43">
        <v>103134600</v>
      </c>
      <c r="F405" s="43">
        <v>14202</v>
      </c>
      <c r="G405" s="43">
        <v>4365430400</v>
      </c>
      <c r="H405" s="43">
        <v>1</v>
      </c>
      <c r="I405" s="43">
        <v>326400</v>
      </c>
      <c r="J405" s="43">
        <v>1</v>
      </c>
      <c r="K405" s="43">
        <v>3100</v>
      </c>
      <c r="L405" s="43">
        <v>693</v>
      </c>
      <c r="M405" s="43">
        <v>3066743700</v>
      </c>
      <c r="N405" s="43">
        <v>601</v>
      </c>
      <c r="O405" s="43">
        <v>2362622800</v>
      </c>
      <c r="P405" s="43">
        <v>60</v>
      </c>
      <c r="Q405" s="43">
        <v>314532200</v>
      </c>
      <c r="R405" s="43">
        <v>32</v>
      </c>
      <c r="S405" s="43">
        <v>389588700</v>
      </c>
      <c r="T405" s="44">
        <f t="shared" si="36"/>
        <v>15396</v>
      </c>
      <c r="U405" s="44">
        <f t="shared" si="36"/>
        <v>7535638200</v>
      </c>
      <c r="V405" s="45">
        <f t="shared" si="37"/>
        <v>0.57934798408978816</v>
      </c>
      <c r="W405" s="44">
        <f t="shared" si="38"/>
        <v>14203</v>
      </c>
      <c r="X405" s="44">
        <f t="shared" si="39"/>
        <v>4755345500</v>
      </c>
      <c r="Y405" s="43">
        <f t="shared" si="40"/>
        <v>307382.72196014924</v>
      </c>
      <c r="Z405" s="45">
        <f t="shared" si="41"/>
        <v>5.1699496400981669E-2</v>
      </c>
    </row>
    <row r="406" spans="1:26">
      <c r="A406" s="42" t="s">
        <v>876</v>
      </c>
      <c r="B406" s="42" t="s">
        <v>877</v>
      </c>
      <c r="C406" s="42" t="s">
        <v>20</v>
      </c>
      <c r="D406" s="43">
        <v>233</v>
      </c>
      <c r="E406" s="43">
        <v>19116300</v>
      </c>
      <c r="F406" s="43">
        <v>2894</v>
      </c>
      <c r="G406" s="43">
        <v>1129463700</v>
      </c>
      <c r="H406" s="43">
        <v>8</v>
      </c>
      <c r="I406" s="43">
        <v>3070000</v>
      </c>
      <c r="J406" s="43">
        <v>16</v>
      </c>
      <c r="K406" s="43">
        <v>40700</v>
      </c>
      <c r="L406" s="43">
        <v>143</v>
      </c>
      <c r="M406" s="43">
        <v>127200200</v>
      </c>
      <c r="N406" s="43">
        <v>115</v>
      </c>
      <c r="O406" s="43">
        <v>103967400</v>
      </c>
      <c r="P406" s="43">
        <v>21</v>
      </c>
      <c r="Q406" s="43">
        <v>16541200</v>
      </c>
      <c r="R406" s="43">
        <v>7</v>
      </c>
      <c r="S406" s="43">
        <v>6691600</v>
      </c>
      <c r="T406" s="44">
        <f t="shared" si="36"/>
        <v>3294</v>
      </c>
      <c r="U406" s="44">
        <f t="shared" si="36"/>
        <v>1278890900</v>
      </c>
      <c r="V406" s="45">
        <f t="shared" si="37"/>
        <v>0.88555927640113785</v>
      </c>
      <c r="W406" s="44">
        <f t="shared" si="38"/>
        <v>2902</v>
      </c>
      <c r="X406" s="44">
        <f t="shared" si="39"/>
        <v>1139225300</v>
      </c>
      <c r="Y406" s="43">
        <f t="shared" si="40"/>
        <v>390259.71743625088</v>
      </c>
      <c r="Z406" s="45">
        <f t="shared" si="41"/>
        <v>5.2323462462669805E-3</v>
      </c>
    </row>
    <row r="407" spans="1:26">
      <c r="A407" s="42" t="s">
        <v>878</v>
      </c>
      <c r="B407" s="42" t="s">
        <v>879</v>
      </c>
      <c r="C407" s="42" t="s">
        <v>20</v>
      </c>
      <c r="D407" s="43">
        <v>127</v>
      </c>
      <c r="E407" s="43">
        <v>20321100</v>
      </c>
      <c r="F407" s="43">
        <v>4763</v>
      </c>
      <c r="G407" s="43">
        <v>2234174600</v>
      </c>
      <c r="H407" s="43">
        <v>18</v>
      </c>
      <c r="I407" s="43">
        <v>12825200</v>
      </c>
      <c r="J407" s="43">
        <v>26</v>
      </c>
      <c r="K407" s="43">
        <v>108400</v>
      </c>
      <c r="L407" s="43">
        <v>248</v>
      </c>
      <c r="M407" s="43">
        <v>614782500</v>
      </c>
      <c r="N407" s="43">
        <v>215</v>
      </c>
      <c r="O407" s="43">
        <v>236163700</v>
      </c>
      <c r="P407" s="43">
        <v>30</v>
      </c>
      <c r="Q407" s="43">
        <v>45112800</v>
      </c>
      <c r="R407" s="43">
        <v>3</v>
      </c>
      <c r="S407" s="43">
        <v>333506000</v>
      </c>
      <c r="T407" s="44">
        <f t="shared" si="36"/>
        <v>5182</v>
      </c>
      <c r="U407" s="44">
        <f t="shared" si="36"/>
        <v>2882211800</v>
      </c>
      <c r="V407" s="45">
        <f t="shared" si="37"/>
        <v>0.77960953459423077</v>
      </c>
      <c r="W407" s="44">
        <f t="shared" si="38"/>
        <v>4781</v>
      </c>
      <c r="X407" s="44">
        <f t="shared" si="39"/>
        <v>2580505800</v>
      </c>
      <c r="Y407" s="43">
        <f t="shared" si="40"/>
        <v>469985.31687931396</v>
      </c>
      <c r="Z407" s="45">
        <f t="shared" si="41"/>
        <v>0.11571182936659964</v>
      </c>
    </row>
    <row r="408" spans="1:26">
      <c r="A408" s="42" t="s">
        <v>880</v>
      </c>
      <c r="B408" s="42" t="s">
        <v>881</v>
      </c>
      <c r="C408" s="42" t="s">
        <v>20</v>
      </c>
      <c r="D408" s="43">
        <v>331</v>
      </c>
      <c r="E408" s="43">
        <v>34523800</v>
      </c>
      <c r="F408" s="43">
        <v>7191</v>
      </c>
      <c r="G408" s="43">
        <v>2409164000</v>
      </c>
      <c r="H408" s="43">
        <v>21</v>
      </c>
      <c r="I408" s="43">
        <v>5292200</v>
      </c>
      <c r="J408" s="43">
        <v>42</v>
      </c>
      <c r="K408" s="43">
        <v>196500</v>
      </c>
      <c r="L408" s="43">
        <v>331</v>
      </c>
      <c r="M408" s="43">
        <v>456896000</v>
      </c>
      <c r="N408" s="43">
        <v>257</v>
      </c>
      <c r="O408" s="43">
        <v>239003200</v>
      </c>
      <c r="P408" s="43">
        <v>57</v>
      </c>
      <c r="Q408" s="43">
        <v>116292300</v>
      </c>
      <c r="R408" s="43">
        <v>17</v>
      </c>
      <c r="S408" s="43">
        <v>101600500</v>
      </c>
      <c r="T408" s="44">
        <f t="shared" si="36"/>
        <v>7916</v>
      </c>
      <c r="U408" s="44">
        <f t="shared" si="36"/>
        <v>2906072500</v>
      </c>
      <c r="V408" s="45">
        <f t="shared" si="37"/>
        <v>0.83083137120632744</v>
      </c>
      <c r="W408" s="44">
        <f t="shared" si="38"/>
        <v>7212</v>
      </c>
      <c r="X408" s="44">
        <f t="shared" si="39"/>
        <v>2516056700</v>
      </c>
      <c r="Y408" s="43">
        <f t="shared" si="40"/>
        <v>334783.16694398224</v>
      </c>
      <c r="Z408" s="45">
        <f t="shared" si="41"/>
        <v>3.4961447107737333E-2</v>
      </c>
    </row>
    <row r="409" spans="1:26">
      <c r="A409" s="42" t="s">
        <v>882</v>
      </c>
      <c r="B409" s="42" t="s">
        <v>883</v>
      </c>
      <c r="C409" s="42" t="s">
        <v>20</v>
      </c>
      <c r="D409" s="43">
        <v>259</v>
      </c>
      <c r="E409" s="43">
        <v>44919300</v>
      </c>
      <c r="F409" s="43">
        <v>1484</v>
      </c>
      <c r="G409" s="43">
        <v>532729300</v>
      </c>
      <c r="H409" s="43">
        <v>1</v>
      </c>
      <c r="I409" s="43">
        <v>624200</v>
      </c>
      <c r="J409" s="43">
        <v>2</v>
      </c>
      <c r="K409" s="43">
        <v>5600</v>
      </c>
      <c r="L409" s="43">
        <v>128</v>
      </c>
      <c r="M409" s="43">
        <v>256405400</v>
      </c>
      <c r="N409" s="43">
        <v>99</v>
      </c>
      <c r="O409" s="43">
        <v>211390000</v>
      </c>
      <c r="P409" s="43">
        <v>25</v>
      </c>
      <c r="Q409" s="43">
        <v>43368700</v>
      </c>
      <c r="R409" s="43">
        <v>4</v>
      </c>
      <c r="S409" s="43">
        <v>1646700</v>
      </c>
      <c r="T409" s="44">
        <f t="shared" si="36"/>
        <v>1874</v>
      </c>
      <c r="U409" s="44">
        <f t="shared" si="36"/>
        <v>834683800</v>
      </c>
      <c r="V409" s="45">
        <f t="shared" si="37"/>
        <v>0.63898868050392255</v>
      </c>
      <c r="W409" s="44">
        <f t="shared" si="38"/>
        <v>1485</v>
      </c>
      <c r="X409" s="44">
        <f t="shared" si="39"/>
        <v>535000200</v>
      </c>
      <c r="Y409" s="43">
        <f t="shared" si="40"/>
        <v>359160.60606060608</v>
      </c>
      <c r="Z409" s="45">
        <f t="shared" si="41"/>
        <v>1.9728428897266247E-3</v>
      </c>
    </row>
    <row r="410" spans="1:26">
      <c r="A410" s="42" t="s">
        <v>884</v>
      </c>
      <c r="B410" s="42" t="s">
        <v>885</v>
      </c>
      <c r="C410" s="42" t="s">
        <v>20</v>
      </c>
      <c r="D410" s="43">
        <v>83</v>
      </c>
      <c r="E410" s="43">
        <v>10291900</v>
      </c>
      <c r="F410" s="43">
        <v>1894</v>
      </c>
      <c r="G410" s="43">
        <v>563247300</v>
      </c>
      <c r="H410" s="43"/>
      <c r="I410" s="43"/>
      <c r="J410" s="43"/>
      <c r="K410" s="43"/>
      <c r="L410" s="43">
        <v>228</v>
      </c>
      <c r="M410" s="43">
        <v>196642200</v>
      </c>
      <c r="N410" s="43">
        <v>189</v>
      </c>
      <c r="O410" s="43">
        <v>143341900</v>
      </c>
      <c r="P410" s="43">
        <v>16</v>
      </c>
      <c r="Q410" s="43">
        <v>31007900</v>
      </c>
      <c r="R410" s="43">
        <v>23</v>
      </c>
      <c r="S410" s="43">
        <v>22292400</v>
      </c>
      <c r="T410" s="44">
        <f t="shared" si="36"/>
        <v>2205</v>
      </c>
      <c r="U410" s="44">
        <f t="shared" si="36"/>
        <v>770181400</v>
      </c>
      <c r="V410" s="45">
        <f t="shared" si="37"/>
        <v>0.73131771294398951</v>
      </c>
      <c r="W410" s="44">
        <f t="shared" si="38"/>
        <v>1894</v>
      </c>
      <c r="X410" s="44">
        <f t="shared" si="39"/>
        <v>585539700</v>
      </c>
      <c r="Y410" s="43">
        <f t="shared" si="40"/>
        <v>297385.05807814148</v>
      </c>
      <c r="Z410" s="45">
        <f t="shared" si="41"/>
        <v>2.8944349993391166E-2</v>
      </c>
    </row>
    <row r="411" spans="1:26">
      <c r="A411" s="42" t="s">
        <v>886</v>
      </c>
      <c r="B411" s="42" t="s">
        <v>887</v>
      </c>
      <c r="C411" s="42" t="s">
        <v>20</v>
      </c>
      <c r="D411" s="43">
        <v>1166</v>
      </c>
      <c r="E411" s="43">
        <v>73980100</v>
      </c>
      <c r="F411" s="43">
        <v>8407</v>
      </c>
      <c r="G411" s="43">
        <v>2175843900</v>
      </c>
      <c r="H411" s="43">
        <v>10</v>
      </c>
      <c r="I411" s="43">
        <v>3526800</v>
      </c>
      <c r="J411" s="43">
        <v>31</v>
      </c>
      <c r="K411" s="43">
        <v>157600</v>
      </c>
      <c r="L411" s="43">
        <v>217</v>
      </c>
      <c r="M411" s="43">
        <v>647592400</v>
      </c>
      <c r="N411" s="43">
        <v>160</v>
      </c>
      <c r="O411" s="43">
        <v>440184300</v>
      </c>
      <c r="P411" s="43">
        <v>48</v>
      </c>
      <c r="Q411" s="43">
        <v>166746900</v>
      </c>
      <c r="R411" s="43">
        <v>9</v>
      </c>
      <c r="S411" s="43">
        <v>40661200</v>
      </c>
      <c r="T411" s="44">
        <f t="shared" si="36"/>
        <v>9831</v>
      </c>
      <c r="U411" s="44">
        <f t="shared" si="36"/>
        <v>2901100800</v>
      </c>
      <c r="V411" s="45">
        <f t="shared" si="37"/>
        <v>0.75122198442742838</v>
      </c>
      <c r="W411" s="44">
        <f t="shared" si="38"/>
        <v>8417</v>
      </c>
      <c r="X411" s="44">
        <f t="shared" si="39"/>
        <v>2220031900</v>
      </c>
      <c r="Y411" s="43">
        <f t="shared" si="40"/>
        <v>258924.87822264465</v>
      </c>
      <c r="Z411" s="45">
        <f t="shared" si="41"/>
        <v>1.4015783250275205E-2</v>
      </c>
    </row>
    <row r="412" spans="1:26">
      <c r="A412" s="42" t="s">
        <v>888</v>
      </c>
      <c r="B412" s="42" t="s">
        <v>889</v>
      </c>
      <c r="C412" s="42" t="s">
        <v>20</v>
      </c>
      <c r="D412" s="43">
        <v>468</v>
      </c>
      <c r="E412" s="43">
        <v>33008400</v>
      </c>
      <c r="F412" s="43">
        <v>7804</v>
      </c>
      <c r="G412" s="43">
        <v>1623484500</v>
      </c>
      <c r="H412" s="43">
        <v>12</v>
      </c>
      <c r="I412" s="43">
        <v>3829400</v>
      </c>
      <c r="J412" s="43">
        <v>28</v>
      </c>
      <c r="K412" s="43">
        <v>228000</v>
      </c>
      <c r="L412" s="43">
        <v>460</v>
      </c>
      <c r="M412" s="43">
        <v>380875900</v>
      </c>
      <c r="N412" s="43">
        <v>403</v>
      </c>
      <c r="O412" s="43">
        <v>306868700</v>
      </c>
      <c r="P412" s="43">
        <v>44</v>
      </c>
      <c r="Q412" s="43">
        <v>64422300</v>
      </c>
      <c r="R412" s="43">
        <v>13</v>
      </c>
      <c r="S412" s="43">
        <v>9584900</v>
      </c>
      <c r="T412" s="44">
        <f t="shared" si="36"/>
        <v>8772</v>
      </c>
      <c r="U412" s="44">
        <f t="shared" si="36"/>
        <v>2041426200</v>
      </c>
      <c r="V412" s="45">
        <f t="shared" si="37"/>
        <v>0.79714559360509829</v>
      </c>
      <c r="W412" s="44">
        <f t="shared" si="38"/>
        <v>7816</v>
      </c>
      <c r="X412" s="44">
        <f t="shared" si="39"/>
        <v>1636898800</v>
      </c>
      <c r="Y412" s="43">
        <f t="shared" si="40"/>
        <v>208202.90429887411</v>
      </c>
      <c r="Z412" s="45">
        <f t="shared" si="41"/>
        <v>4.6951978964510201E-3</v>
      </c>
    </row>
    <row r="413" spans="1:26">
      <c r="A413" s="42" t="s">
        <v>890</v>
      </c>
      <c r="B413" s="42" t="s">
        <v>891</v>
      </c>
      <c r="C413" s="42" t="s">
        <v>20</v>
      </c>
      <c r="D413" s="43">
        <v>6</v>
      </c>
      <c r="E413" s="43">
        <v>104800</v>
      </c>
      <c r="F413" s="43">
        <v>295</v>
      </c>
      <c r="G413" s="43">
        <v>76642700</v>
      </c>
      <c r="H413" s="43"/>
      <c r="I413" s="43"/>
      <c r="J413" s="43"/>
      <c r="K413" s="43"/>
      <c r="L413" s="43">
        <v>27</v>
      </c>
      <c r="M413" s="43">
        <v>20821300</v>
      </c>
      <c r="N413" s="43">
        <v>25</v>
      </c>
      <c r="O413" s="43">
        <v>12308900</v>
      </c>
      <c r="P413" s="43"/>
      <c r="Q413" s="43"/>
      <c r="R413" s="43">
        <v>2</v>
      </c>
      <c r="S413" s="43">
        <v>8512400</v>
      </c>
      <c r="T413" s="44">
        <f t="shared" si="36"/>
        <v>328</v>
      </c>
      <c r="U413" s="44">
        <f t="shared" si="36"/>
        <v>97568800</v>
      </c>
      <c r="V413" s="45">
        <f t="shared" si="37"/>
        <v>0.78552467592099118</v>
      </c>
      <c r="W413" s="44">
        <f t="shared" si="38"/>
        <v>295</v>
      </c>
      <c r="X413" s="44">
        <f t="shared" si="39"/>
        <v>85155100</v>
      </c>
      <c r="Y413" s="43">
        <f t="shared" si="40"/>
        <v>259805.7627118644</v>
      </c>
      <c r="Z413" s="45">
        <f t="shared" si="41"/>
        <v>8.7245102942743985E-2</v>
      </c>
    </row>
    <row r="414" spans="1:26">
      <c r="A414" s="42" t="s">
        <v>892</v>
      </c>
      <c r="B414" s="42" t="s">
        <v>254</v>
      </c>
      <c r="C414" s="42" t="s">
        <v>20</v>
      </c>
      <c r="D414" s="43">
        <v>464</v>
      </c>
      <c r="E414" s="43">
        <v>61154900</v>
      </c>
      <c r="F414" s="43">
        <v>5630</v>
      </c>
      <c r="G414" s="43">
        <v>2824089600</v>
      </c>
      <c r="H414" s="43">
        <v>228</v>
      </c>
      <c r="I414" s="43">
        <v>131760300</v>
      </c>
      <c r="J414" s="43">
        <v>450</v>
      </c>
      <c r="K414" s="43">
        <v>4264200</v>
      </c>
      <c r="L414" s="43">
        <v>199</v>
      </c>
      <c r="M414" s="43">
        <v>195580200</v>
      </c>
      <c r="N414" s="43">
        <v>174</v>
      </c>
      <c r="O414" s="43">
        <v>113518400</v>
      </c>
      <c r="P414" s="43">
        <v>20</v>
      </c>
      <c r="Q414" s="43">
        <v>38803500</v>
      </c>
      <c r="R414" s="43">
        <v>5</v>
      </c>
      <c r="S414" s="43">
        <v>43258300</v>
      </c>
      <c r="T414" s="44">
        <f t="shared" si="36"/>
        <v>6971</v>
      </c>
      <c r="U414" s="44">
        <f t="shared" si="36"/>
        <v>3216849200</v>
      </c>
      <c r="V414" s="45">
        <f t="shared" si="37"/>
        <v>0.91886492534371833</v>
      </c>
      <c r="W414" s="44">
        <f t="shared" si="38"/>
        <v>5858</v>
      </c>
      <c r="X414" s="44">
        <f t="shared" si="39"/>
        <v>2999108200</v>
      </c>
      <c r="Y414" s="43">
        <f t="shared" si="40"/>
        <v>504583.45851826563</v>
      </c>
      <c r="Z414" s="45">
        <f t="shared" si="41"/>
        <v>1.3447413077367755E-2</v>
      </c>
    </row>
    <row r="415" spans="1:26">
      <c r="A415" s="42" t="s">
        <v>893</v>
      </c>
      <c r="B415" s="42" t="s">
        <v>894</v>
      </c>
      <c r="C415" s="42" t="s">
        <v>20</v>
      </c>
      <c r="D415" s="43">
        <v>61</v>
      </c>
      <c r="E415" s="43">
        <v>17248900</v>
      </c>
      <c r="F415" s="43">
        <v>1692</v>
      </c>
      <c r="G415" s="43">
        <v>567671400</v>
      </c>
      <c r="H415" s="43">
        <v>2</v>
      </c>
      <c r="I415" s="43">
        <v>703100</v>
      </c>
      <c r="J415" s="43">
        <v>2</v>
      </c>
      <c r="K415" s="43">
        <v>4000</v>
      </c>
      <c r="L415" s="43">
        <v>104</v>
      </c>
      <c r="M415" s="43">
        <v>257488900</v>
      </c>
      <c r="N415" s="43">
        <v>80</v>
      </c>
      <c r="O415" s="43">
        <v>102222100</v>
      </c>
      <c r="P415" s="43">
        <v>11</v>
      </c>
      <c r="Q415" s="43">
        <v>126740600</v>
      </c>
      <c r="R415" s="43">
        <v>13</v>
      </c>
      <c r="S415" s="43">
        <v>28526200</v>
      </c>
      <c r="T415" s="44">
        <f t="shared" si="36"/>
        <v>1861</v>
      </c>
      <c r="U415" s="44">
        <f t="shared" si="36"/>
        <v>843116300</v>
      </c>
      <c r="V415" s="45">
        <f t="shared" si="37"/>
        <v>0.67413534763827954</v>
      </c>
      <c r="W415" s="44">
        <f t="shared" si="38"/>
        <v>1694</v>
      </c>
      <c r="X415" s="44">
        <f t="shared" si="39"/>
        <v>596900700</v>
      </c>
      <c r="Y415" s="43">
        <f t="shared" si="40"/>
        <v>335522.13695395511</v>
      </c>
      <c r="Z415" s="45">
        <f t="shared" si="41"/>
        <v>3.3834240898912758E-2</v>
      </c>
    </row>
    <row r="416" spans="1:26">
      <c r="A416" s="42" t="s">
        <v>895</v>
      </c>
      <c r="B416" s="42" t="s">
        <v>896</v>
      </c>
      <c r="C416" s="42" t="s">
        <v>21</v>
      </c>
      <c r="D416" s="43">
        <v>64</v>
      </c>
      <c r="E416" s="43">
        <v>34576200</v>
      </c>
      <c r="F416" s="43">
        <v>1179</v>
      </c>
      <c r="G416" s="43">
        <v>991695500</v>
      </c>
      <c r="H416" s="43"/>
      <c r="I416" s="43"/>
      <c r="J416" s="43"/>
      <c r="K416" s="43"/>
      <c r="L416" s="43">
        <v>49</v>
      </c>
      <c r="M416" s="43">
        <v>45649300</v>
      </c>
      <c r="N416" s="43">
        <v>47</v>
      </c>
      <c r="O416" s="43">
        <v>44492500</v>
      </c>
      <c r="P416" s="43"/>
      <c r="Q416" s="43"/>
      <c r="R416" s="43">
        <v>2</v>
      </c>
      <c r="S416" s="43">
        <v>1156800</v>
      </c>
      <c r="T416" s="44">
        <f t="shared" si="36"/>
        <v>1292</v>
      </c>
      <c r="U416" s="44">
        <f t="shared" si="36"/>
        <v>1071921000</v>
      </c>
      <c r="V416" s="45">
        <f t="shared" si="37"/>
        <v>0.92515726438795398</v>
      </c>
      <c r="W416" s="44">
        <f t="shared" si="38"/>
        <v>1179</v>
      </c>
      <c r="X416" s="44">
        <f t="shared" si="39"/>
        <v>992852300</v>
      </c>
      <c r="Y416" s="43">
        <f t="shared" si="40"/>
        <v>841132.73960983881</v>
      </c>
      <c r="Z416" s="45">
        <f t="shared" si="41"/>
        <v>1.0791840070303689E-3</v>
      </c>
    </row>
    <row r="417" spans="1:26">
      <c r="A417" s="42" t="s">
        <v>897</v>
      </c>
      <c r="B417" s="42" t="s">
        <v>898</v>
      </c>
      <c r="C417" s="42" t="s">
        <v>21</v>
      </c>
      <c r="D417" s="43">
        <v>47</v>
      </c>
      <c r="E417" s="43">
        <v>14237040</v>
      </c>
      <c r="F417" s="43">
        <v>954</v>
      </c>
      <c r="G417" s="43">
        <v>892385400</v>
      </c>
      <c r="H417" s="43"/>
      <c r="I417" s="43"/>
      <c r="J417" s="43"/>
      <c r="K417" s="43"/>
      <c r="L417" s="43">
        <v>50</v>
      </c>
      <c r="M417" s="43">
        <v>50159000</v>
      </c>
      <c r="N417" s="43">
        <v>49</v>
      </c>
      <c r="O417" s="43">
        <v>49605700</v>
      </c>
      <c r="P417" s="43"/>
      <c r="Q417" s="43"/>
      <c r="R417" s="43">
        <v>1</v>
      </c>
      <c r="S417" s="43">
        <v>553300</v>
      </c>
      <c r="T417" s="44">
        <f t="shared" si="36"/>
        <v>1051</v>
      </c>
      <c r="U417" s="44">
        <f t="shared" si="36"/>
        <v>956781440</v>
      </c>
      <c r="V417" s="45">
        <f t="shared" si="37"/>
        <v>0.93269514090908789</v>
      </c>
      <c r="W417" s="44">
        <f t="shared" si="38"/>
        <v>954</v>
      </c>
      <c r="X417" s="44">
        <f t="shared" si="39"/>
        <v>892938700</v>
      </c>
      <c r="Y417" s="43">
        <f t="shared" si="40"/>
        <v>935414.46540880506</v>
      </c>
      <c r="Z417" s="45">
        <f t="shared" si="41"/>
        <v>5.7829299029880845E-4</v>
      </c>
    </row>
    <row r="418" spans="1:26">
      <c r="A418" s="42" t="s">
        <v>899</v>
      </c>
      <c r="B418" s="42" t="s">
        <v>900</v>
      </c>
      <c r="C418" s="42" t="s">
        <v>21</v>
      </c>
      <c r="D418" s="43">
        <v>326</v>
      </c>
      <c r="E418" s="43">
        <v>49992200</v>
      </c>
      <c r="F418" s="43">
        <v>2222</v>
      </c>
      <c r="G418" s="43">
        <v>1460757300</v>
      </c>
      <c r="H418" s="43"/>
      <c r="I418" s="43"/>
      <c r="J418" s="43"/>
      <c r="K418" s="43"/>
      <c r="L418" s="43">
        <v>123</v>
      </c>
      <c r="M418" s="43">
        <v>121215292</v>
      </c>
      <c r="N418" s="43">
        <v>111</v>
      </c>
      <c r="O418" s="43">
        <v>107327192</v>
      </c>
      <c r="P418" s="43"/>
      <c r="Q418" s="43"/>
      <c r="R418" s="43">
        <v>12</v>
      </c>
      <c r="S418" s="43">
        <v>13888100</v>
      </c>
      <c r="T418" s="44">
        <f t="shared" si="36"/>
        <v>2671</v>
      </c>
      <c r="U418" s="44">
        <f t="shared" si="36"/>
        <v>1631964792</v>
      </c>
      <c r="V418" s="45">
        <f t="shared" si="37"/>
        <v>0.89509118527601172</v>
      </c>
      <c r="W418" s="44">
        <f t="shared" si="38"/>
        <v>2222</v>
      </c>
      <c r="X418" s="44">
        <f t="shared" si="39"/>
        <v>1474645400</v>
      </c>
      <c r="Y418" s="43">
        <f t="shared" si="40"/>
        <v>657406.52565256529</v>
      </c>
      <c r="Z418" s="45">
        <f t="shared" si="41"/>
        <v>8.5100487878662524E-3</v>
      </c>
    </row>
    <row r="419" spans="1:26">
      <c r="A419" s="42" t="s">
        <v>901</v>
      </c>
      <c r="B419" s="42" t="s">
        <v>902</v>
      </c>
      <c r="C419" s="42" t="s">
        <v>21</v>
      </c>
      <c r="D419" s="43">
        <v>338</v>
      </c>
      <c r="E419" s="43">
        <v>19820100</v>
      </c>
      <c r="F419" s="43">
        <v>3700</v>
      </c>
      <c r="G419" s="43">
        <v>961158300</v>
      </c>
      <c r="H419" s="43"/>
      <c r="I419" s="43"/>
      <c r="J419" s="43"/>
      <c r="K419" s="43"/>
      <c r="L419" s="43">
        <v>82</v>
      </c>
      <c r="M419" s="43">
        <v>35853800</v>
      </c>
      <c r="N419" s="43">
        <v>77</v>
      </c>
      <c r="O419" s="43">
        <v>33989500</v>
      </c>
      <c r="P419" s="43">
        <v>1</v>
      </c>
      <c r="Q419" s="43">
        <v>224900</v>
      </c>
      <c r="R419" s="43">
        <v>4</v>
      </c>
      <c r="S419" s="43">
        <v>1639400</v>
      </c>
      <c r="T419" s="44">
        <f t="shared" si="36"/>
        <v>4120</v>
      </c>
      <c r="U419" s="44">
        <f t="shared" si="36"/>
        <v>1016832200</v>
      </c>
      <c r="V419" s="45">
        <f t="shared" si="37"/>
        <v>0.94524770163651384</v>
      </c>
      <c r="W419" s="44">
        <f t="shared" si="38"/>
        <v>3700</v>
      </c>
      <c r="X419" s="44">
        <f t="shared" si="39"/>
        <v>962797700</v>
      </c>
      <c r="Y419" s="43">
        <f t="shared" si="40"/>
        <v>259772.51351351352</v>
      </c>
      <c r="Z419" s="45">
        <f t="shared" si="41"/>
        <v>1.6122620821803243E-3</v>
      </c>
    </row>
    <row r="420" spans="1:26">
      <c r="A420" s="42" t="s">
        <v>903</v>
      </c>
      <c r="B420" s="42" t="s">
        <v>904</v>
      </c>
      <c r="C420" s="42" t="s">
        <v>21</v>
      </c>
      <c r="D420" s="43">
        <v>3406</v>
      </c>
      <c r="E420" s="43">
        <v>49607700</v>
      </c>
      <c r="F420" s="43">
        <v>22736</v>
      </c>
      <c r="G420" s="43">
        <v>2469451190</v>
      </c>
      <c r="H420" s="43">
        <v>2</v>
      </c>
      <c r="I420" s="43">
        <v>270800</v>
      </c>
      <c r="J420" s="43">
        <v>3</v>
      </c>
      <c r="K420" s="43">
        <v>22700</v>
      </c>
      <c r="L420" s="43">
        <v>227</v>
      </c>
      <c r="M420" s="43">
        <v>157279800</v>
      </c>
      <c r="N420" s="43">
        <v>199</v>
      </c>
      <c r="O420" s="43">
        <v>122003200</v>
      </c>
      <c r="P420" s="43">
        <v>19</v>
      </c>
      <c r="Q420" s="43">
        <v>10646400</v>
      </c>
      <c r="R420" s="43">
        <v>9</v>
      </c>
      <c r="S420" s="43">
        <v>24630200</v>
      </c>
      <c r="T420" s="44">
        <f t="shared" si="36"/>
        <v>26374</v>
      </c>
      <c r="U420" s="44">
        <f t="shared" si="36"/>
        <v>2676632190</v>
      </c>
      <c r="V420" s="45">
        <f t="shared" si="37"/>
        <v>0.92269755972709866</v>
      </c>
      <c r="W420" s="44">
        <f t="shared" si="38"/>
        <v>22738</v>
      </c>
      <c r="X420" s="44">
        <f t="shared" si="39"/>
        <v>2494352190</v>
      </c>
      <c r="Y420" s="43">
        <f t="shared" si="40"/>
        <v>108616.50057173014</v>
      </c>
      <c r="Z420" s="45">
        <f t="shared" si="41"/>
        <v>9.2019367068883681E-3</v>
      </c>
    </row>
    <row r="421" spans="1:26">
      <c r="A421" s="42" t="s">
        <v>905</v>
      </c>
      <c r="B421" s="42" t="s">
        <v>906</v>
      </c>
      <c r="C421" s="42" t="s">
        <v>21</v>
      </c>
      <c r="D421" s="43">
        <v>1364</v>
      </c>
      <c r="E421" s="43">
        <v>77661100</v>
      </c>
      <c r="F421" s="43">
        <v>30509</v>
      </c>
      <c r="G421" s="43">
        <v>4091642300</v>
      </c>
      <c r="H421" s="43">
        <v>1</v>
      </c>
      <c r="I421" s="43">
        <v>95900</v>
      </c>
      <c r="J421" s="43"/>
      <c r="K421" s="43"/>
      <c r="L421" s="43">
        <v>759</v>
      </c>
      <c r="M421" s="43">
        <v>523333000</v>
      </c>
      <c r="N421" s="43">
        <v>723</v>
      </c>
      <c r="O421" s="43">
        <v>459046100</v>
      </c>
      <c r="P421" s="43">
        <v>22</v>
      </c>
      <c r="Q421" s="43">
        <v>10405300</v>
      </c>
      <c r="R421" s="43">
        <v>14</v>
      </c>
      <c r="S421" s="43">
        <v>53881600</v>
      </c>
      <c r="T421" s="44">
        <f t="shared" si="36"/>
        <v>32633</v>
      </c>
      <c r="U421" s="44">
        <f t="shared" si="36"/>
        <v>4692732300</v>
      </c>
      <c r="V421" s="45">
        <f t="shared" si="37"/>
        <v>0.87193087915967415</v>
      </c>
      <c r="W421" s="44">
        <f t="shared" si="38"/>
        <v>30510</v>
      </c>
      <c r="X421" s="44">
        <f t="shared" si="39"/>
        <v>4145619800</v>
      </c>
      <c r="Y421" s="43">
        <f t="shared" si="40"/>
        <v>134111.37987545069</v>
      </c>
      <c r="Z421" s="45">
        <f t="shared" si="41"/>
        <v>1.1481924933156746E-2</v>
      </c>
    </row>
    <row r="422" spans="1:26">
      <c r="A422" s="42" t="s">
        <v>907</v>
      </c>
      <c r="B422" s="42" t="s">
        <v>908</v>
      </c>
      <c r="C422" s="42" t="s">
        <v>21</v>
      </c>
      <c r="D422" s="43">
        <v>1762</v>
      </c>
      <c r="E422" s="43">
        <v>118897800</v>
      </c>
      <c r="F422" s="43">
        <v>37949</v>
      </c>
      <c r="G422" s="43">
        <v>5267210200</v>
      </c>
      <c r="H422" s="43">
        <v>15</v>
      </c>
      <c r="I422" s="43">
        <v>2528300</v>
      </c>
      <c r="J422" s="43">
        <v>22</v>
      </c>
      <c r="K422" s="43">
        <v>100700</v>
      </c>
      <c r="L422" s="43">
        <v>1618</v>
      </c>
      <c r="M422" s="43">
        <v>1053829500</v>
      </c>
      <c r="N422" s="43">
        <v>1541</v>
      </c>
      <c r="O422" s="43">
        <v>932927400</v>
      </c>
      <c r="P422" s="43">
        <v>41</v>
      </c>
      <c r="Q422" s="43">
        <v>33112500</v>
      </c>
      <c r="R422" s="43">
        <v>36</v>
      </c>
      <c r="S422" s="43">
        <v>87789600</v>
      </c>
      <c r="T422" s="44">
        <f t="shared" si="36"/>
        <v>41366</v>
      </c>
      <c r="U422" s="44">
        <f t="shared" si="36"/>
        <v>6442566500</v>
      </c>
      <c r="V422" s="45">
        <f t="shared" si="37"/>
        <v>0.81795639982916746</v>
      </c>
      <c r="W422" s="44">
        <f t="shared" si="38"/>
        <v>37964</v>
      </c>
      <c r="X422" s="44">
        <f t="shared" si="39"/>
        <v>5357528100</v>
      </c>
      <c r="Y422" s="43">
        <f t="shared" si="40"/>
        <v>138808.83205141712</v>
      </c>
      <c r="Z422" s="45">
        <f t="shared" si="41"/>
        <v>1.3626494969046886E-2</v>
      </c>
    </row>
    <row r="423" spans="1:26">
      <c r="A423" s="42" t="s">
        <v>909</v>
      </c>
      <c r="B423" s="42" t="s">
        <v>910</v>
      </c>
      <c r="C423" s="42" t="s">
        <v>21</v>
      </c>
      <c r="D423" s="43">
        <v>371</v>
      </c>
      <c r="E423" s="43">
        <v>41450500</v>
      </c>
      <c r="F423" s="43">
        <v>688</v>
      </c>
      <c r="G423" s="43">
        <v>204913500</v>
      </c>
      <c r="H423" s="43">
        <v>1</v>
      </c>
      <c r="I423" s="43">
        <v>281500</v>
      </c>
      <c r="J423" s="43">
        <v>13</v>
      </c>
      <c r="K423" s="43">
        <v>48700</v>
      </c>
      <c r="L423" s="43">
        <v>97</v>
      </c>
      <c r="M423" s="43">
        <v>37698000</v>
      </c>
      <c r="N423" s="43">
        <v>92</v>
      </c>
      <c r="O423" s="43">
        <v>33293500</v>
      </c>
      <c r="P423" s="43">
        <v>4</v>
      </c>
      <c r="Q423" s="43">
        <v>3967600</v>
      </c>
      <c r="R423" s="43">
        <v>1</v>
      </c>
      <c r="S423" s="43">
        <v>436900</v>
      </c>
      <c r="T423" s="44">
        <f t="shared" si="36"/>
        <v>1170</v>
      </c>
      <c r="U423" s="44">
        <f t="shared" si="36"/>
        <v>284392200</v>
      </c>
      <c r="V423" s="45">
        <f t="shared" si="37"/>
        <v>0.72152119502574263</v>
      </c>
      <c r="W423" s="44">
        <f t="shared" si="38"/>
        <v>689</v>
      </c>
      <c r="X423" s="44">
        <f t="shared" si="39"/>
        <v>205631900</v>
      </c>
      <c r="Y423" s="43">
        <f t="shared" si="40"/>
        <v>297815.6748911466</v>
      </c>
      <c r="Z423" s="45">
        <f t="shared" si="41"/>
        <v>1.5362587300214281E-3</v>
      </c>
    </row>
    <row r="424" spans="1:26">
      <c r="A424" s="42" t="s">
        <v>911</v>
      </c>
      <c r="B424" s="42" t="s">
        <v>912</v>
      </c>
      <c r="C424" s="42" t="s">
        <v>21</v>
      </c>
      <c r="D424" s="43">
        <v>41</v>
      </c>
      <c r="E424" s="43">
        <v>26646700</v>
      </c>
      <c r="F424" s="43">
        <v>1187</v>
      </c>
      <c r="G424" s="43">
        <v>1326570400</v>
      </c>
      <c r="H424" s="43"/>
      <c r="I424" s="43"/>
      <c r="J424" s="43"/>
      <c r="K424" s="43"/>
      <c r="L424" s="43">
        <v>24</v>
      </c>
      <c r="M424" s="43">
        <v>14316900</v>
      </c>
      <c r="N424" s="43">
        <v>24</v>
      </c>
      <c r="O424" s="43">
        <v>14316900</v>
      </c>
      <c r="P424" s="43"/>
      <c r="Q424" s="43"/>
      <c r="R424" s="43"/>
      <c r="S424" s="43"/>
      <c r="T424" s="44">
        <f t="shared" si="36"/>
        <v>1252</v>
      </c>
      <c r="U424" s="44">
        <f t="shared" si="36"/>
        <v>1367534000</v>
      </c>
      <c r="V424" s="45">
        <f t="shared" si="37"/>
        <v>0.9700456442033617</v>
      </c>
      <c r="W424" s="44">
        <f t="shared" si="38"/>
        <v>1187</v>
      </c>
      <c r="X424" s="44">
        <f t="shared" si="39"/>
        <v>1326570400</v>
      </c>
      <c r="Y424" s="43">
        <f t="shared" si="40"/>
        <v>1117582.4768323505</v>
      </c>
      <c r="Z424" s="45">
        <f t="shared" si="41"/>
        <v>0</v>
      </c>
    </row>
    <row r="425" spans="1:26">
      <c r="A425" s="42" t="s">
        <v>913</v>
      </c>
      <c r="B425" s="42" t="s">
        <v>914</v>
      </c>
      <c r="C425" s="42" t="s">
        <v>21</v>
      </c>
      <c r="D425" s="43">
        <v>67</v>
      </c>
      <c r="E425" s="43">
        <v>15209600</v>
      </c>
      <c r="F425" s="43">
        <v>807</v>
      </c>
      <c r="G425" s="43">
        <v>310714800</v>
      </c>
      <c r="H425" s="43"/>
      <c r="I425" s="43"/>
      <c r="J425" s="43"/>
      <c r="K425" s="43"/>
      <c r="L425" s="43">
        <v>31</v>
      </c>
      <c r="M425" s="43">
        <v>23211100</v>
      </c>
      <c r="N425" s="43">
        <v>30</v>
      </c>
      <c r="O425" s="43">
        <v>22721800</v>
      </c>
      <c r="P425" s="43"/>
      <c r="Q425" s="43"/>
      <c r="R425" s="43">
        <v>1</v>
      </c>
      <c r="S425" s="43">
        <v>489300</v>
      </c>
      <c r="T425" s="44">
        <f t="shared" si="36"/>
        <v>905</v>
      </c>
      <c r="U425" s="44">
        <f t="shared" si="36"/>
        <v>349135500</v>
      </c>
      <c r="V425" s="45">
        <f t="shared" si="37"/>
        <v>0.88995475968499338</v>
      </c>
      <c r="W425" s="44">
        <f t="shared" si="38"/>
        <v>807</v>
      </c>
      <c r="X425" s="44">
        <f t="shared" si="39"/>
        <v>311204100</v>
      </c>
      <c r="Y425" s="43">
        <f t="shared" si="40"/>
        <v>385024.53531598515</v>
      </c>
      <c r="Z425" s="45">
        <f t="shared" si="41"/>
        <v>1.4014616101771374E-3</v>
      </c>
    </row>
    <row r="426" spans="1:26">
      <c r="A426" s="42" t="s">
        <v>915</v>
      </c>
      <c r="B426" s="42" t="s">
        <v>916</v>
      </c>
      <c r="C426" s="42" t="s">
        <v>21</v>
      </c>
      <c r="D426" s="43">
        <v>2405</v>
      </c>
      <c r="E426" s="43">
        <v>81777650</v>
      </c>
      <c r="F426" s="43">
        <v>17092</v>
      </c>
      <c r="G426" s="43">
        <v>2575062100</v>
      </c>
      <c r="H426" s="43">
        <v>64</v>
      </c>
      <c r="I426" s="43">
        <v>11167600</v>
      </c>
      <c r="J426" s="43">
        <v>96</v>
      </c>
      <c r="K426" s="43">
        <v>704800</v>
      </c>
      <c r="L426" s="43">
        <v>284</v>
      </c>
      <c r="M426" s="43">
        <v>309231400</v>
      </c>
      <c r="N426" s="43">
        <v>224</v>
      </c>
      <c r="O426" s="43">
        <v>260972200</v>
      </c>
      <c r="P426" s="43">
        <v>50</v>
      </c>
      <c r="Q426" s="43">
        <v>17831100</v>
      </c>
      <c r="R426" s="43">
        <v>10</v>
      </c>
      <c r="S426" s="43">
        <v>30428100</v>
      </c>
      <c r="T426" s="44">
        <f t="shared" si="36"/>
        <v>19941</v>
      </c>
      <c r="U426" s="44">
        <f t="shared" si="36"/>
        <v>2977943550</v>
      </c>
      <c r="V426" s="45">
        <f t="shared" si="37"/>
        <v>0.86846162681626382</v>
      </c>
      <c r="W426" s="44">
        <f t="shared" si="38"/>
        <v>17156</v>
      </c>
      <c r="X426" s="44">
        <f t="shared" si="39"/>
        <v>2616657800</v>
      </c>
      <c r="Y426" s="43">
        <f t="shared" si="40"/>
        <v>150747.82583352763</v>
      </c>
      <c r="Z426" s="45">
        <f t="shared" si="41"/>
        <v>1.0217822967127768E-2</v>
      </c>
    </row>
    <row r="427" spans="1:26">
      <c r="A427" s="42" t="s">
        <v>917</v>
      </c>
      <c r="B427" s="42" t="s">
        <v>918</v>
      </c>
      <c r="C427" s="42" t="s">
        <v>21</v>
      </c>
      <c r="D427" s="43">
        <v>3794</v>
      </c>
      <c r="E427" s="43">
        <v>38150700</v>
      </c>
      <c r="F427" s="43">
        <v>11296</v>
      </c>
      <c r="G427" s="43">
        <v>1522697000</v>
      </c>
      <c r="H427" s="43">
        <v>7</v>
      </c>
      <c r="I427" s="43">
        <v>1485700</v>
      </c>
      <c r="J427" s="43">
        <v>14</v>
      </c>
      <c r="K427" s="43">
        <v>914300</v>
      </c>
      <c r="L427" s="43">
        <v>303</v>
      </c>
      <c r="M427" s="43">
        <v>204001800</v>
      </c>
      <c r="N427" s="43">
        <v>260</v>
      </c>
      <c r="O427" s="43">
        <v>135219600</v>
      </c>
      <c r="P427" s="43">
        <v>42</v>
      </c>
      <c r="Q427" s="43">
        <v>66638700</v>
      </c>
      <c r="R427" s="43">
        <v>1</v>
      </c>
      <c r="S427" s="43">
        <v>2143500</v>
      </c>
      <c r="T427" s="44">
        <f t="shared" si="36"/>
        <v>15414</v>
      </c>
      <c r="U427" s="44">
        <f t="shared" si="36"/>
        <v>1767249500</v>
      </c>
      <c r="V427" s="45">
        <f t="shared" si="37"/>
        <v>0.86246039396248242</v>
      </c>
      <c r="W427" s="44">
        <f t="shared" si="38"/>
        <v>11303</v>
      </c>
      <c r="X427" s="44">
        <f t="shared" si="39"/>
        <v>1526326200</v>
      </c>
      <c r="Y427" s="43">
        <f t="shared" si="40"/>
        <v>134847.62452446253</v>
      </c>
      <c r="Z427" s="45">
        <f t="shared" si="41"/>
        <v>1.2129017436417438E-3</v>
      </c>
    </row>
    <row r="428" spans="1:26">
      <c r="A428" s="42" t="s">
        <v>919</v>
      </c>
      <c r="B428" s="42" t="s">
        <v>920</v>
      </c>
      <c r="C428" s="42" t="s">
        <v>21</v>
      </c>
      <c r="D428" s="43">
        <v>55</v>
      </c>
      <c r="E428" s="43">
        <v>3714200</v>
      </c>
      <c r="F428" s="43">
        <v>690</v>
      </c>
      <c r="G428" s="43">
        <v>152316700</v>
      </c>
      <c r="H428" s="43"/>
      <c r="I428" s="43"/>
      <c r="J428" s="43"/>
      <c r="K428" s="43"/>
      <c r="L428" s="43">
        <v>60</v>
      </c>
      <c r="M428" s="43">
        <v>29597200</v>
      </c>
      <c r="N428" s="43">
        <v>58</v>
      </c>
      <c r="O428" s="43">
        <v>29028200</v>
      </c>
      <c r="P428" s="43"/>
      <c r="Q428" s="43"/>
      <c r="R428" s="43">
        <v>2</v>
      </c>
      <c r="S428" s="43">
        <v>569000</v>
      </c>
      <c r="T428" s="44">
        <f t="shared" si="36"/>
        <v>805</v>
      </c>
      <c r="U428" s="44">
        <f t="shared" si="36"/>
        <v>185628100</v>
      </c>
      <c r="V428" s="45">
        <f t="shared" si="37"/>
        <v>0.82054764337942365</v>
      </c>
      <c r="W428" s="44">
        <f t="shared" si="38"/>
        <v>690</v>
      </c>
      <c r="X428" s="44">
        <f t="shared" si="39"/>
        <v>152885700</v>
      </c>
      <c r="Y428" s="43">
        <f t="shared" si="40"/>
        <v>220748.84057971014</v>
      </c>
      <c r="Z428" s="45">
        <f t="shared" si="41"/>
        <v>3.0652686743009275E-3</v>
      </c>
    </row>
    <row r="429" spans="1:26">
      <c r="A429" s="42" t="s">
        <v>921</v>
      </c>
      <c r="B429" s="42" t="s">
        <v>922</v>
      </c>
      <c r="C429" s="42" t="s">
        <v>21</v>
      </c>
      <c r="D429" s="43">
        <v>3505</v>
      </c>
      <c r="E429" s="43">
        <v>468468400</v>
      </c>
      <c r="F429" s="43">
        <v>19077</v>
      </c>
      <c r="G429" s="43">
        <v>5633818300</v>
      </c>
      <c r="H429" s="43">
        <v>10</v>
      </c>
      <c r="I429" s="43">
        <v>4877800</v>
      </c>
      <c r="J429" s="43">
        <v>22</v>
      </c>
      <c r="K429" s="43">
        <v>55100</v>
      </c>
      <c r="L429" s="43">
        <v>831</v>
      </c>
      <c r="M429" s="43">
        <v>1739374400</v>
      </c>
      <c r="N429" s="43">
        <v>556</v>
      </c>
      <c r="O429" s="43">
        <v>762189400</v>
      </c>
      <c r="P429" s="43">
        <v>181</v>
      </c>
      <c r="Q429" s="43">
        <v>602901700</v>
      </c>
      <c r="R429" s="43">
        <v>94</v>
      </c>
      <c r="S429" s="43">
        <v>374283300</v>
      </c>
      <c r="T429" s="44">
        <f t="shared" si="36"/>
        <v>23445</v>
      </c>
      <c r="U429" s="44">
        <f t="shared" si="36"/>
        <v>7846594000</v>
      </c>
      <c r="V429" s="45">
        <f t="shared" si="37"/>
        <v>0.71861703307192903</v>
      </c>
      <c r="W429" s="44">
        <f t="shared" si="38"/>
        <v>19087</v>
      </c>
      <c r="X429" s="44">
        <f t="shared" si="39"/>
        <v>6012979400</v>
      </c>
      <c r="Y429" s="43">
        <f t="shared" si="40"/>
        <v>295420.7628228637</v>
      </c>
      <c r="Z429" s="45">
        <f t="shared" si="41"/>
        <v>4.7700097647463344E-2</v>
      </c>
    </row>
    <row r="430" spans="1:26">
      <c r="A430" s="42" t="s">
        <v>923</v>
      </c>
      <c r="B430" s="42" t="s">
        <v>924</v>
      </c>
      <c r="C430" s="42" t="s">
        <v>21</v>
      </c>
      <c r="D430" s="43">
        <v>75</v>
      </c>
      <c r="E430" s="43">
        <v>40821600</v>
      </c>
      <c r="F430" s="43">
        <v>2514</v>
      </c>
      <c r="G430" s="43">
        <v>1726353800</v>
      </c>
      <c r="H430" s="43"/>
      <c r="I430" s="43"/>
      <c r="J430" s="43"/>
      <c r="K430" s="43"/>
      <c r="L430" s="43">
        <v>86</v>
      </c>
      <c r="M430" s="43">
        <v>47072560</v>
      </c>
      <c r="N430" s="43">
        <v>79</v>
      </c>
      <c r="O430" s="43">
        <v>42144860</v>
      </c>
      <c r="P430" s="43"/>
      <c r="Q430" s="43"/>
      <c r="R430" s="43">
        <v>7</v>
      </c>
      <c r="S430" s="43">
        <v>4927700</v>
      </c>
      <c r="T430" s="44">
        <f t="shared" si="36"/>
        <v>2675</v>
      </c>
      <c r="U430" s="44">
        <f t="shared" si="36"/>
        <v>1814247960</v>
      </c>
      <c r="V430" s="45">
        <f t="shared" si="37"/>
        <v>0.95155339185278731</v>
      </c>
      <c r="W430" s="44">
        <f t="shared" si="38"/>
        <v>2514</v>
      </c>
      <c r="X430" s="44">
        <f t="shared" si="39"/>
        <v>1731281500</v>
      </c>
      <c r="Y430" s="43">
        <f t="shared" si="40"/>
        <v>686696.02227525855</v>
      </c>
      <c r="Z430" s="45">
        <f t="shared" si="41"/>
        <v>2.7161116388963722E-3</v>
      </c>
    </row>
    <row r="431" spans="1:26">
      <c r="A431" s="42" t="s">
        <v>925</v>
      </c>
      <c r="B431" s="42" t="s">
        <v>926</v>
      </c>
      <c r="C431" s="42" t="s">
        <v>21</v>
      </c>
      <c r="D431" s="43">
        <v>1847</v>
      </c>
      <c r="E431" s="43">
        <v>158794300</v>
      </c>
      <c r="F431" s="43">
        <v>9903</v>
      </c>
      <c r="G431" s="43">
        <v>2837818989</v>
      </c>
      <c r="H431" s="43">
        <v>4</v>
      </c>
      <c r="I431" s="43">
        <v>2638500</v>
      </c>
      <c r="J431" s="43">
        <v>17</v>
      </c>
      <c r="K431" s="43">
        <v>70366</v>
      </c>
      <c r="L431" s="43">
        <v>186</v>
      </c>
      <c r="M431" s="43">
        <v>167259600</v>
      </c>
      <c r="N431" s="43">
        <v>182</v>
      </c>
      <c r="O431" s="43">
        <v>163633500</v>
      </c>
      <c r="P431" s="43">
        <v>2</v>
      </c>
      <c r="Q431" s="43">
        <v>566100</v>
      </c>
      <c r="R431" s="43">
        <v>2</v>
      </c>
      <c r="S431" s="43">
        <v>3060000</v>
      </c>
      <c r="T431" s="44">
        <f t="shared" si="36"/>
        <v>11957</v>
      </c>
      <c r="U431" s="44">
        <f t="shared" si="36"/>
        <v>3166581755</v>
      </c>
      <c r="V431" s="45">
        <f t="shared" si="37"/>
        <v>0.89701062810551058</v>
      </c>
      <c r="W431" s="44">
        <f t="shared" si="38"/>
        <v>9907</v>
      </c>
      <c r="X431" s="44">
        <f t="shared" si="39"/>
        <v>2843517489</v>
      </c>
      <c r="Y431" s="43">
        <f t="shared" si="40"/>
        <v>286712.17210053495</v>
      </c>
      <c r="Z431" s="45">
        <f t="shared" si="41"/>
        <v>9.6634170116349956E-4</v>
      </c>
    </row>
    <row r="432" spans="1:26">
      <c r="A432" s="42" t="s">
        <v>927</v>
      </c>
      <c r="B432" s="42" t="s">
        <v>928</v>
      </c>
      <c r="C432" s="42" t="s">
        <v>21</v>
      </c>
      <c r="D432" s="43">
        <v>961</v>
      </c>
      <c r="E432" s="43">
        <v>206968200</v>
      </c>
      <c r="F432" s="43">
        <v>7882</v>
      </c>
      <c r="G432" s="43">
        <v>7015508900</v>
      </c>
      <c r="H432" s="43"/>
      <c r="I432" s="43"/>
      <c r="J432" s="43"/>
      <c r="K432" s="43"/>
      <c r="L432" s="43">
        <v>168</v>
      </c>
      <c r="M432" s="43">
        <v>166222200</v>
      </c>
      <c r="N432" s="43">
        <v>159</v>
      </c>
      <c r="O432" s="43">
        <v>158503300</v>
      </c>
      <c r="P432" s="43"/>
      <c r="Q432" s="43"/>
      <c r="R432" s="43">
        <v>9</v>
      </c>
      <c r="S432" s="43">
        <v>7718900</v>
      </c>
      <c r="T432" s="44">
        <f t="shared" si="36"/>
        <v>9011</v>
      </c>
      <c r="U432" s="44">
        <f t="shared" si="36"/>
        <v>7388699300</v>
      </c>
      <c r="V432" s="45">
        <f t="shared" si="37"/>
        <v>0.94949173259764408</v>
      </c>
      <c r="W432" s="44">
        <f t="shared" si="38"/>
        <v>7882</v>
      </c>
      <c r="X432" s="44">
        <f t="shared" si="39"/>
        <v>7023227800</v>
      </c>
      <c r="Y432" s="43">
        <f t="shared" si="40"/>
        <v>890067.10225831007</v>
      </c>
      <c r="Z432" s="45">
        <f t="shared" si="41"/>
        <v>1.0446899632253271E-3</v>
      </c>
    </row>
    <row r="433" spans="1:26">
      <c r="A433" s="42" t="s">
        <v>929</v>
      </c>
      <c r="B433" s="42" t="s">
        <v>930</v>
      </c>
      <c r="C433" s="42" t="s">
        <v>21</v>
      </c>
      <c r="D433" s="43">
        <v>4517</v>
      </c>
      <c r="E433" s="43">
        <v>67756300</v>
      </c>
      <c r="F433" s="43">
        <v>15523</v>
      </c>
      <c r="G433" s="43">
        <v>1650351281</v>
      </c>
      <c r="H433" s="43">
        <v>8</v>
      </c>
      <c r="I433" s="43">
        <v>1067700</v>
      </c>
      <c r="J433" s="43">
        <v>19</v>
      </c>
      <c r="K433" s="43">
        <v>501600</v>
      </c>
      <c r="L433" s="43">
        <v>181</v>
      </c>
      <c r="M433" s="43">
        <v>429952500</v>
      </c>
      <c r="N433" s="43">
        <v>141</v>
      </c>
      <c r="O433" s="43">
        <v>147430600</v>
      </c>
      <c r="P433" s="43">
        <v>9</v>
      </c>
      <c r="Q433" s="43">
        <v>16353600</v>
      </c>
      <c r="R433" s="43">
        <v>31</v>
      </c>
      <c r="S433" s="43">
        <v>266168300</v>
      </c>
      <c r="T433" s="44">
        <f t="shared" si="36"/>
        <v>20248</v>
      </c>
      <c r="U433" s="44">
        <f t="shared" si="36"/>
        <v>2149629381</v>
      </c>
      <c r="V433" s="45">
        <f t="shared" si="37"/>
        <v>0.76823428056782783</v>
      </c>
      <c r="W433" s="44">
        <f t="shared" si="38"/>
        <v>15531</v>
      </c>
      <c r="X433" s="44">
        <f t="shared" si="39"/>
        <v>1917587281</v>
      </c>
      <c r="Y433" s="43">
        <f t="shared" si="40"/>
        <v>106330.49906638336</v>
      </c>
      <c r="Z433" s="45">
        <f t="shared" si="41"/>
        <v>0.12382055360453784</v>
      </c>
    </row>
    <row r="434" spans="1:26">
      <c r="A434" s="42" t="s">
        <v>931</v>
      </c>
      <c r="B434" s="42" t="s">
        <v>932</v>
      </c>
      <c r="C434" s="42" t="s">
        <v>21</v>
      </c>
      <c r="D434" s="43">
        <v>36</v>
      </c>
      <c r="E434" s="43">
        <v>57147700</v>
      </c>
      <c r="F434" s="43">
        <v>521</v>
      </c>
      <c r="G434" s="43">
        <v>1736830100</v>
      </c>
      <c r="H434" s="43"/>
      <c r="I434" s="43"/>
      <c r="J434" s="43"/>
      <c r="K434" s="43"/>
      <c r="L434" s="43">
        <v>5</v>
      </c>
      <c r="M434" s="43">
        <v>15133000</v>
      </c>
      <c r="N434" s="43">
        <v>5</v>
      </c>
      <c r="O434" s="43">
        <v>15133000</v>
      </c>
      <c r="P434" s="43"/>
      <c r="Q434" s="43"/>
      <c r="R434" s="43"/>
      <c r="S434" s="43"/>
      <c r="T434" s="44">
        <f t="shared" si="36"/>
        <v>562</v>
      </c>
      <c r="U434" s="44">
        <f t="shared" si="36"/>
        <v>1809110800</v>
      </c>
      <c r="V434" s="45">
        <f t="shared" si="37"/>
        <v>0.96004628351121446</v>
      </c>
      <c r="W434" s="44">
        <f t="shared" si="38"/>
        <v>521</v>
      </c>
      <c r="X434" s="44">
        <f t="shared" si="39"/>
        <v>1736830100</v>
      </c>
      <c r="Y434" s="43">
        <f t="shared" si="40"/>
        <v>3333647.0249520154</v>
      </c>
      <c r="Z434" s="45">
        <f t="shared" si="41"/>
        <v>0</v>
      </c>
    </row>
    <row r="435" spans="1:26">
      <c r="A435" s="42" t="s">
        <v>933</v>
      </c>
      <c r="B435" s="42" t="s">
        <v>785</v>
      </c>
      <c r="C435" s="42" t="s">
        <v>21</v>
      </c>
      <c r="D435" s="43">
        <v>879</v>
      </c>
      <c r="E435" s="43">
        <v>68887700</v>
      </c>
      <c r="F435" s="43">
        <v>3927</v>
      </c>
      <c r="G435" s="43">
        <v>1127016900</v>
      </c>
      <c r="H435" s="43">
        <v>6</v>
      </c>
      <c r="I435" s="43">
        <v>2902500</v>
      </c>
      <c r="J435" s="43">
        <v>87</v>
      </c>
      <c r="K435" s="43">
        <v>389500</v>
      </c>
      <c r="L435" s="43">
        <v>118</v>
      </c>
      <c r="M435" s="43">
        <v>60544400</v>
      </c>
      <c r="N435" s="43">
        <v>117</v>
      </c>
      <c r="O435" s="43">
        <v>59969800</v>
      </c>
      <c r="P435" s="43">
        <v>1</v>
      </c>
      <c r="Q435" s="43">
        <v>574600</v>
      </c>
      <c r="R435" s="43"/>
      <c r="S435" s="43"/>
      <c r="T435" s="44">
        <f t="shared" si="36"/>
        <v>5017</v>
      </c>
      <c r="U435" s="44">
        <f t="shared" si="36"/>
        <v>1259741000</v>
      </c>
      <c r="V435" s="45">
        <f t="shared" si="37"/>
        <v>0.89694580076380781</v>
      </c>
      <c r="W435" s="44">
        <f t="shared" si="38"/>
        <v>3933</v>
      </c>
      <c r="X435" s="44">
        <f t="shared" si="39"/>
        <v>1129919400</v>
      </c>
      <c r="Y435" s="43">
        <f t="shared" si="40"/>
        <v>287291.99084668193</v>
      </c>
      <c r="Z435" s="45">
        <f t="shared" si="41"/>
        <v>0</v>
      </c>
    </row>
    <row r="436" spans="1:26">
      <c r="A436" s="42" t="s">
        <v>934</v>
      </c>
      <c r="B436" s="42" t="s">
        <v>935</v>
      </c>
      <c r="C436" s="42" t="s">
        <v>21</v>
      </c>
      <c r="D436" s="43">
        <v>38</v>
      </c>
      <c r="E436" s="43">
        <v>3351000</v>
      </c>
      <c r="F436" s="43">
        <v>1041</v>
      </c>
      <c r="G436" s="43">
        <v>251009000</v>
      </c>
      <c r="H436" s="43"/>
      <c r="I436" s="43"/>
      <c r="J436" s="43"/>
      <c r="K436" s="43"/>
      <c r="L436" s="43">
        <v>16</v>
      </c>
      <c r="M436" s="43">
        <v>5982100</v>
      </c>
      <c r="N436" s="43">
        <v>13</v>
      </c>
      <c r="O436" s="43">
        <v>4683100</v>
      </c>
      <c r="P436" s="43"/>
      <c r="Q436" s="43"/>
      <c r="R436" s="43">
        <v>3</v>
      </c>
      <c r="S436" s="43">
        <v>1299000</v>
      </c>
      <c r="T436" s="44">
        <f t="shared" si="36"/>
        <v>1095</v>
      </c>
      <c r="U436" s="44">
        <f t="shared" si="36"/>
        <v>260342100</v>
      </c>
      <c r="V436" s="45">
        <f t="shared" si="37"/>
        <v>0.96415063103508802</v>
      </c>
      <c r="W436" s="44">
        <f t="shared" si="38"/>
        <v>1041</v>
      </c>
      <c r="X436" s="44">
        <f t="shared" si="39"/>
        <v>252308000</v>
      </c>
      <c r="Y436" s="43">
        <f t="shared" si="40"/>
        <v>241122.95869356388</v>
      </c>
      <c r="Z436" s="45">
        <f t="shared" si="41"/>
        <v>4.9895886988696797E-3</v>
      </c>
    </row>
    <row r="437" spans="1:26">
      <c r="A437" s="42" t="s">
        <v>936</v>
      </c>
      <c r="B437" s="42" t="s">
        <v>937</v>
      </c>
      <c r="C437" s="42" t="s">
        <v>21</v>
      </c>
      <c r="D437" s="43">
        <v>35</v>
      </c>
      <c r="E437" s="43">
        <v>5920000</v>
      </c>
      <c r="F437" s="43">
        <v>879</v>
      </c>
      <c r="G437" s="43">
        <v>285233800</v>
      </c>
      <c r="H437" s="43"/>
      <c r="I437" s="43"/>
      <c r="J437" s="43"/>
      <c r="K437" s="43"/>
      <c r="L437" s="43">
        <v>18</v>
      </c>
      <c r="M437" s="43">
        <v>7134800</v>
      </c>
      <c r="N437" s="43">
        <v>18</v>
      </c>
      <c r="O437" s="43">
        <v>7134800</v>
      </c>
      <c r="P437" s="43"/>
      <c r="Q437" s="43"/>
      <c r="R437" s="43"/>
      <c r="S437" s="43"/>
      <c r="T437" s="44">
        <f t="shared" si="36"/>
        <v>932</v>
      </c>
      <c r="U437" s="44">
        <f t="shared" si="36"/>
        <v>298288600</v>
      </c>
      <c r="V437" s="45">
        <f t="shared" si="37"/>
        <v>0.95623433144947545</v>
      </c>
      <c r="W437" s="44">
        <f t="shared" si="38"/>
        <v>879</v>
      </c>
      <c r="X437" s="44">
        <f t="shared" si="39"/>
        <v>285233800</v>
      </c>
      <c r="Y437" s="43">
        <f t="shared" si="40"/>
        <v>324498.0659840728</v>
      </c>
      <c r="Z437" s="45">
        <f t="shared" si="41"/>
        <v>0</v>
      </c>
    </row>
    <row r="438" spans="1:26">
      <c r="A438" s="42" t="s">
        <v>938</v>
      </c>
      <c r="B438" s="42" t="s">
        <v>939</v>
      </c>
      <c r="C438" s="42" t="s">
        <v>21</v>
      </c>
      <c r="D438" s="43">
        <v>333</v>
      </c>
      <c r="E438" s="43">
        <v>34911200</v>
      </c>
      <c r="F438" s="43">
        <v>2391</v>
      </c>
      <c r="G438" s="43">
        <v>917640700</v>
      </c>
      <c r="H438" s="43">
        <v>110</v>
      </c>
      <c r="I438" s="43">
        <v>52447200</v>
      </c>
      <c r="J438" s="43">
        <v>149</v>
      </c>
      <c r="K438" s="43">
        <v>2275400</v>
      </c>
      <c r="L438" s="43">
        <v>109</v>
      </c>
      <c r="M438" s="43">
        <v>73534700</v>
      </c>
      <c r="N438" s="43">
        <v>93</v>
      </c>
      <c r="O438" s="43">
        <v>60424600</v>
      </c>
      <c r="P438" s="43">
        <v>8</v>
      </c>
      <c r="Q438" s="43">
        <v>9030500</v>
      </c>
      <c r="R438" s="43">
        <v>8</v>
      </c>
      <c r="S438" s="43">
        <v>4079600</v>
      </c>
      <c r="T438" s="44">
        <f t="shared" si="36"/>
        <v>3092</v>
      </c>
      <c r="U438" s="44">
        <f t="shared" si="36"/>
        <v>1080809200</v>
      </c>
      <c r="V438" s="45">
        <f t="shared" si="37"/>
        <v>0.89755703411851051</v>
      </c>
      <c r="W438" s="44">
        <f t="shared" si="38"/>
        <v>2501</v>
      </c>
      <c r="X438" s="44">
        <f t="shared" si="39"/>
        <v>974167500</v>
      </c>
      <c r="Y438" s="43">
        <f t="shared" si="40"/>
        <v>387880.00799680129</v>
      </c>
      <c r="Z438" s="45">
        <f t="shared" si="41"/>
        <v>3.7745792689403458E-3</v>
      </c>
    </row>
    <row r="439" spans="1:26">
      <c r="A439" s="42" t="s">
        <v>940</v>
      </c>
      <c r="B439" s="42" t="s">
        <v>941</v>
      </c>
      <c r="C439" s="42" t="s">
        <v>21</v>
      </c>
      <c r="D439" s="43">
        <v>309</v>
      </c>
      <c r="E439" s="43">
        <v>25484700</v>
      </c>
      <c r="F439" s="43">
        <v>7564</v>
      </c>
      <c r="G439" s="43">
        <v>1242328500</v>
      </c>
      <c r="H439" s="43"/>
      <c r="I439" s="43"/>
      <c r="J439" s="43"/>
      <c r="K439" s="43"/>
      <c r="L439" s="43">
        <v>321</v>
      </c>
      <c r="M439" s="43">
        <v>119817900</v>
      </c>
      <c r="N439" s="43">
        <v>307</v>
      </c>
      <c r="O439" s="43">
        <v>108023200</v>
      </c>
      <c r="P439" s="43"/>
      <c r="Q439" s="43"/>
      <c r="R439" s="43">
        <v>14</v>
      </c>
      <c r="S439" s="43">
        <v>11794700</v>
      </c>
      <c r="T439" s="44">
        <f t="shared" si="36"/>
        <v>8194</v>
      </c>
      <c r="U439" s="44">
        <f t="shared" si="36"/>
        <v>1387631100</v>
      </c>
      <c r="V439" s="45">
        <f t="shared" si="37"/>
        <v>0.89528729934058127</v>
      </c>
      <c r="W439" s="44">
        <f t="shared" si="38"/>
        <v>7564</v>
      </c>
      <c r="X439" s="44">
        <f t="shared" si="39"/>
        <v>1254123200</v>
      </c>
      <c r="Y439" s="43">
        <f t="shared" si="40"/>
        <v>164242.26599682707</v>
      </c>
      <c r="Z439" s="45">
        <f t="shared" si="41"/>
        <v>8.4998815607404583E-3</v>
      </c>
    </row>
    <row r="440" spans="1:26">
      <c r="A440" s="42" t="s">
        <v>942</v>
      </c>
      <c r="B440" s="42" t="s">
        <v>943</v>
      </c>
      <c r="C440" s="42" t="s">
        <v>21</v>
      </c>
      <c r="D440" s="43">
        <v>224</v>
      </c>
      <c r="E440" s="43">
        <v>95929700</v>
      </c>
      <c r="F440" s="43">
        <v>2762</v>
      </c>
      <c r="G440" s="43">
        <v>1939485200</v>
      </c>
      <c r="H440" s="43"/>
      <c r="I440" s="43"/>
      <c r="J440" s="43"/>
      <c r="K440" s="43"/>
      <c r="L440" s="43">
        <v>274</v>
      </c>
      <c r="M440" s="43">
        <v>519473300</v>
      </c>
      <c r="N440" s="43">
        <v>268</v>
      </c>
      <c r="O440" s="43">
        <v>503915800</v>
      </c>
      <c r="P440" s="43"/>
      <c r="Q440" s="43"/>
      <c r="R440" s="43">
        <v>6</v>
      </c>
      <c r="S440" s="43">
        <v>15557500</v>
      </c>
      <c r="T440" s="44">
        <f t="shared" si="36"/>
        <v>3260</v>
      </c>
      <c r="U440" s="44">
        <f t="shared" si="36"/>
        <v>2554888200</v>
      </c>
      <c r="V440" s="45">
        <f t="shared" si="37"/>
        <v>0.75912722912885189</v>
      </c>
      <c r="W440" s="44">
        <f t="shared" si="38"/>
        <v>2762</v>
      </c>
      <c r="X440" s="44">
        <f t="shared" si="39"/>
        <v>1955042700</v>
      </c>
      <c r="Y440" s="43">
        <f t="shared" si="40"/>
        <v>702203.18609703111</v>
      </c>
      <c r="Z440" s="45">
        <f t="shared" si="41"/>
        <v>6.089307547782326E-3</v>
      </c>
    </row>
    <row r="441" spans="1:26">
      <c r="A441" s="42" t="s">
        <v>944</v>
      </c>
      <c r="B441" s="42" t="s">
        <v>945</v>
      </c>
      <c r="C441" s="42" t="s">
        <v>21</v>
      </c>
      <c r="D441" s="43">
        <v>113</v>
      </c>
      <c r="E441" s="43">
        <v>43217800</v>
      </c>
      <c r="F441" s="43">
        <v>1682</v>
      </c>
      <c r="G441" s="43">
        <v>521942000</v>
      </c>
      <c r="H441" s="43"/>
      <c r="I441" s="43"/>
      <c r="J441" s="43"/>
      <c r="K441" s="43"/>
      <c r="L441" s="43">
        <v>219</v>
      </c>
      <c r="M441" s="43">
        <v>308900800</v>
      </c>
      <c r="N441" s="43">
        <v>160</v>
      </c>
      <c r="O441" s="43">
        <v>268433200</v>
      </c>
      <c r="P441" s="43"/>
      <c r="Q441" s="43"/>
      <c r="R441" s="43">
        <v>59</v>
      </c>
      <c r="S441" s="43">
        <v>40467600</v>
      </c>
      <c r="T441" s="44">
        <f t="shared" si="36"/>
        <v>2014</v>
      </c>
      <c r="U441" s="44">
        <f t="shared" si="36"/>
        <v>874060600</v>
      </c>
      <c r="V441" s="45">
        <f t="shared" si="37"/>
        <v>0.59714623905939701</v>
      </c>
      <c r="W441" s="44">
        <f t="shared" si="38"/>
        <v>1682</v>
      </c>
      <c r="X441" s="44">
        <f t="shared" si="39"/>
        <v>562409600</v>
      </c>
      <c r="Y441" s="43">
        <f t="shared" si="40"/>
        <v>310310.3448275862</v>
      </c>
      <c r="Z441" s="45">
        <f t="shared" si="41"/>
        <v>4.6298391667580027E-2</v>
      </c>
    </row>
    <row r="442" spans="1:26">
      <c r="A442" s="42" t="s">
        <v>946</v>
      </c>
      <c r="B442" s="42" t="s">
        <v>947</v>
      </c>
      <c r="C442" s="42" t="s">
        <v>21</v>
      </c>
      <c r="D442" s="43">
        <v>61</v>
      </c>
      <c r="E442" s="43">
        <v>14841300</v>
      </c>
      <c r="F442" s="43">
        <v>1903</v>
      </c>
      <c r="G442" s="43">
        <v>622537400</v>
      </c>
      <c r="H442" s="43"/>
      <c r="I442" s="43"/>
      <c r="J442" s="43"/>
      <c r="K442" s="43"/>
      <c r="L442" s="43">
        <v>67</v>
      </c>
      <c r="M442" s="43">
        <v>44047500</v>
      </c>
      <c r="N442" s="43">
        <v>53</v>
      </c>
      <c r="O442" s="43">
        <v>38525500</v>
      </c>
      <c r="P442" s="43"/>
      <c r="Q442" s="43"/>
      <c r="R442" s="43">
        <v>14</v>
      </c>
      <c r="S442" s="43">
        <v>5522000</v>
      </c>
      <c r="T442" s="44">
        <f t="shared" si="36"/>
        <v>2031</v>
      </c>
      <c r="U442" s="44">
        <f t="shared" si="36"/>
        <v>681426200</v>
      </c>
      <c r="V442" s="45">
        <f t="shared" si="37"/>
        <v>0.91358007660991025</v>
      </c>
      <c r="W442" s="44">
        <f t="shared" si="38"/>
        <v>1903</v>
      </c>
      <c r="X442" s="44">
        <f t="shared" si="39"/>
        <v>628059400</v>
      </c>
      <c r="Y442" s="43">
        <f t="shared" si="40"/>
        <v>327134.73462953232</v>
      </c>
      <c r="Z442" s="45">
        <f t="shared" si="41"/>
        <v>8.1035921424799928E-3</v>
      </c>
    </row>
    <row r="443" spans="1:26">
      <c r="A443" s="42" t="s">
        <v>948</v>
      </c>
      <c r="B443" s="42" t="s">
        <v>949</v>
      </c>
      <c r="C443" s="42" t="s">
        <v>21</v>
      </c>
      <c r="D443" s="43">
        <v>64</v>
      </c>
      <c r="E443" s="43">
        <v>23365200</v>
      </c>
      <c r="F443" s="43">
        <v>1820</v>
      </c>
      <c r="G443" s="43">
        <v>943318000</v>
      </c>
      <c r="H443" s="43"/>
      <c r="I443" s="43"/>
      <c r="J443" s="43"/>
      <c r="K443" s="43"/>
      <c r="L443" s="43">
        <v>152</v>
      </c>
      <c r="M443" s="43">
        <v>122991600</v>
      </c>
      <c r="N443" s="43">
        <v>149</v>
      </c>
      <c r="O443" s="43">
        <v>120331700</v>
      </c>
      <c r="P443" s="43"/>
      <c r="Q443" s="43"/>
      <c r="R443" s="43">
        <v>3</v>
      </c>
      <c r="S443" s="43">
        <v>2659900</v>
      </c>
      <c r="T443" s="44">
        <f t="shared" si="36"/>
        <v>2036</v>
      </c>
      <c r="U443" s="44">
        <f t="shared" si="36"/>
        <v>1089674800</v>
      </c>
      <c r="V443" s="45">
        <f t="shared" si="37"/>
        <v>0.86568763451260866</v>
      </c>
      <c r="W443" s="44">
        <f t="shared" si="38"/>
        <v>1820</v>
      </c>
      <c r="X443" s="44">
        <f t="shared" si="39"/>
        <v>945977900</v>
      </c>
      <c r="Y443" s="43">
        <f t="shared" si="40"/>
        <v>518306.59340659343</v>
      </c>
      <c r="Z443" s="45">
        <f t="shared" si="41"/>
        <v>2.4410034993926628E-3</v>
      </c>
    </row>
    <row r="444" spans="1:26">
      <c r="A444" s="42" t="s">
        <v>950</v>
      </c>
      <c r="B444" s="42" t="s">
        <v>951</v>
      </c>
      <c r="C444" s="42" t="s">
        <v>21</v>
      </c>
      <c r="D444" s="43">
        <v>80</v>
      </c>
      <c r="E444" s="43">
        <v>6178800</v>
      </c>
      <c r="F444" s="43">
        <v>1098</v>
      </c>
      <c r="G444" s="43">
        <v>236376800</v>
      </c>
      <c r="H444" s="43"/>
      <c r="I444" s="43"/>
      <c r="J444" s="43"/>
      <c r="K444" s="43"/>
      <c r="L444" s="43">
        <v>58</v>
      </c>
      <c r="M444" s="43">
        <v>38869000</v>
      </c>
      <c r="N444" s="43">
        <v>57</v>
      </c>
      <c r="O444" s="43">
        <v>38503800</v>
      </c>
      <c r="P444" s="43">
        <v>1</v>
      </c>
      <c r="Q444" s="43">
        <v>365200</v>
      </c>
      <c r="R444" s="43"/>
      <c r="S444" s="43"/>
      <c r="T444" s="44">
        <f t="shared" si="36"/>
        <v>1236</v>
      </c>
      <c r="U444" s="44">
        <f t="shared" si="36"/>
        <v>281424600</v>
      </c>
      <c r="V444" s="45">
        <f t="shared" si="37"/>
        <v>0.83992941626282847</v>
      </c>
      <c r="W444" s="44">
        <f t="shared" si="38"/>
        <v>1098</v>
      </c>
      <c r="X444" s="44">
        <f t="shared" si="39"/>
        <v>236376800</v>
      </c>
      <c r="Y444" s="43">
        <f t="shared" si="40"/>
        <v>215279.41712204006</v>
      </c>
      <c r="Z444" s="45">
        <f t="shared" si="41"/>
        <v>0</v>
      </c>
    </row>
    <row r="445" spans="1:26">
      <c r="A445" s="42" t="s">
        <v>952</v>
      </c>
      <c r="B445" s="42" t="s">
        <v>953</v>
      </c>
      <c r="C445" s="42" t="s">
        <v>21</v>
      </c>
      <c r="D445" s="43">
        <v>2008</v>
      </c>
      <c r="E445" s="43">
        <v>158577700</v>
      </c>
      <c r="F445" s="43">
        <v>12377</v>
      </c>
      <c r="G445" s="43">
        <v>3703660100</v>
      </c>
      <c r="H445" s="43">
        <v>4</v>
      </c>
      <c r="I445" s="43">
        <v>1061000</v>
      </c>
      <c r="J445" s="43">
        <v>16</v>
      </c>
      <c r="K445" s="43">
        <v>60200</v>
      </c>
      <c r="L445" s="43">
        <v>425</v>
      </c>
      <c r="M445" s="43">
        <v>420805700</v>
      </c>
      <c r="N445" s="43">
        <v>420</v>
      </c>
      <c r="O445" s="43">
        <v>414723900</v>
      </c>
      <c r="P445" s="43">
        <v>1</v>
      </c>
      <c r="Q445" s="43">
        <v>1116400</v>
      </c>
      <c r="R445" s="43">
        <v>4</v>
      </c>
      <c r="S445" s="43">
        <v>4965400</v>
      </c>
      <c r="T445" s="44">
        <f t="shared" si="36"/>
        <v>14830</v>
      </c>
      <c r="U445" s="44">
        <f t="shared" si="36"/>
        <v>4284164700</v>
      </c>
      <c r="V445" s="45">
        <f t="shared" si="37"/>
        <v>0.86474759011949287</v>
      </c>
      <c r="W445" s="44">
        <f t="shared" si="38"/>
        <v>12381</v>
      </c>
      <c r="X445" s="44">
        <f t="shared" si="39"/>
        <v>3709686500</v>
      </c>
      <c r="Y445" s="43">
        <f t="shared" si="40"/>
        <v>299226.32259106694</v>
      </c>
      <c r="Z445" s="45">
        <f t="shared" si="41"/>
        <v>1.1590123974458779E-3</v>
      </c>
    </row>
    <row r="446" spans="1:26">
      <c r="A446" s="42" t="s">
        <v>954</v>
      </c>
      <c r="B446" s="42" t="s">
        <v>955</v>
      </c>
      <c r="C446" s="42" t="s">
        <v>21</v>
      </c>
      <c r="D446" s="43">
        <v>32</v>
      </c>
      <c r="E446" s="43">
        <v>13625900</v>
      </c>
      <c r="F446" s="43">
        <v>2121</v>
      </c>
      <c r="G446" s="43">
        <v>1410648800</v>
      </c>
      <c r="H446" s="43"/>
      <c r="I446" s="43"/>
      <c r="J446" s="43"/>
      <c r="K446" s="43"/>
      <c r="L446" s="43">
        <v>94</v>
      </c>
      <c r="M446" s="43">
        <v>81890100</v>
      </c>
      <c r="N446" s="43">
        <v>94</v>
      </c>
      <c r="O446" s="43">
        <v>81890100</v>
      </c>
      <c r="P446" s="43"/>
      <c r="Q446" s="43"/>
      <c r="R446" s="43"/>
      <c r="S446" s="43"/>
      <c r="T446" s="44">
        <f t="shared" si="36"/>
        <v>2247</v>
      </c>
      <c r="U446" s="44">
        <f t="shared" si="36"/>
        <v>1506164800</v>
      </c>
      <c r="V446" s="45">
        <f t="shared" si="37"/>
        <v>0.93658330084463537</v>
      </c>
      <c r="W446" s="44">
        <f t="shared" si="38"/>
        <v>2121</v>
      </c>
      <c r="X446" s="44">
        <f t="shared" si="39"/>
        <v>1410648800</v>
      </c>
      <c r="Y446" s="43">
        <f t="shared" si="40"/>
        <v>665086.65723715234</v>
      </c>
      <c r="Z446" s="45">
        <f t="shared" si="41"/>
        <v>0</v>
      </c>
    </row>
    <row r="447" spans="1:26">
      <c r="A447" s="42" t="s">
        <v>956</v>
      </c>
      <c r="B447" s="42" t="s">
        <v>957</v>
      </c>
      <c r="C447" s="42" t="s">
        <v>21</v>
      </c>
      <c r="D447" s="43">
        <v>222</v>
      </c>
      <c r="E447" s="43">
        <v>24278600</v>
      </c>
      <c r="F447" s="43">
        <v>1556</v>
      </c>
      <c r="G447" s="43">
        <v>343774100</v>
      </c>
      <c r="H447" s="43"/>
      <c r="I447" s="43"/>
      <c r="J447" s="43"/>
      <c r="K447" s="43"/>
      <c r="L447" s="43">
        <v>99</v>
      </c>
      <c r="M447" s="43">
        <v>60159700</v>
      </c>
      <c r="N447" s="43">
        <v>96</v>
      </c>
      <c r="O447" s="43">
        <v>39042000</v>
      </c>
      <c r="P447" s="43"/>
      <c r="Q447" s="43"/>
      <c r="R447" s="43">
        <v>3</v>
      </c>
      <c r="S447" s="43">
        <v>21117700</v>
      </c>
      <c r="T447" s="44">
        <f t="shared" si="36"/>
        <v>1877</v>
      </c>
      <c r="U447" s="44">
        <f t="shared" si="36"/>
        <v>428212400</v>
      </c>
      <c r="V447" s="45">
        <f t="shared" si="37"/>
        <v>0.8028121091308893</v>
      </c>
      <c r="W447" s="44">
        <f t="shared" si="38"/>
        <v>1556</v>
      </c>
      <c r="X447" s="44">
        <f t="shared" si="39"/>
        <v>364891800</v>
      </c>
      <c r="Y447" s="43">
        <f t="shared" si="40"/>
        <v>220934.51156812339</v>
      </c>
      <c r="Z447" s="45">
        <f t="shared" si="41"/>
        <v>4.9315946945954856E-2</v>
      </c>
    </row>
    <row r="448" spans="1:26">
      <c r="A448" s="42" t="s">
        <v>958</v>
      </c>
      <c r="B448" s="42" t="s">
        <v>959</v>
      </c>
      <c r="C448" s="42" t="s">
        <v>21</v>
      </c>
      <c r="D448" s="43">
        <v>3585</v>
      </c>
      <c r="E448" s="43">
        <v>199511100</v>
      </c>
      <c r="F448" s="43">
        <v>7712</v>
      </c>
      <c r="G448" s="43">
        <v>2415733945</v>
      </c>
      <c r="H448" s="43">
        <v>9</v>
      </c>
      <c r="I448" s="43">
        <v>2385300</v>
      </c>
      <c r="J448" s="43">
        <v>12</v>
      </c>
      <c r="K448" s="43">
        <v>78500</v>
      </c>
      <c r="L448" s="43">
        <v>209</v>
      </c>
      <c r="M448" s="43">
        <v>218751700</v>
      </c>
      <c r="N448" s="43">
        <v>192</v>
      </c>
      <c r="O448" s="43">
        <v>168459700</v>
      </c>
      <c r="P448" s="43">
        <v>15</v>
      </c>
      <c r="Q448" s="43">
        <v>7122700</v>
      </c>
      <c r="R448" s="43">
        <v>2</v>
      </c>
      <c r="S448" s="43">
        <v>43169300</v>
      </c>
      <c r="T448" s="44">
        <f t="shared" si="36"/>
        <v>11527</v>
      </c>
      <c r="U448" s="44">
        <f t="shared" si="36"/>
        <v>2836460545</v>
      </c>
      <c r="V448" s="45">
        <f t="shared" si="37"/>
        <v>0.85251291411846519</v>
      </c>
      <c r="W448" s="44">
        <f t="shared" si="38"/>
        <v>7721</v>
      </c>
      <c r="X448" s="44">
        <f t="shared" si="39"/>
        <v>2461288545</v>
      </c>
      <c r="Y448" s="43">
        <f t="shared" si="40"/>
        <v>313187.31317186891</v>
      </c>
      <c r="Z448" s="45">
        <f t="shared" si="41"/>
        <v>1.5219425518220983E-2</v>
      </c>
    </row>
    <row r="449" spans="1:26">
      <c r="A449" s="42" t="s">
        <v>960</v>
      </c>
      <c r="B449" s="42" t="s">
        <v>961</v>
      </c>
      <c r="C449" s="42" t="s">
        <v>22</v>
      </c>
      <c r="D449" s="43">
        <v>131</v>
      </c>
      <c r="E449" s="43">
        <v>12745900</v>
      </c>
      <c r="F449" s="43">
        <v>2465</v>
      </c>
      <c r="G449" s="43">
        <v>363721500</v>
      </c>
      <c r="H449" s="43">
        <v>3</v>
      </c>
      <c r="I449" s="43">
        <v>492900</v>
      </c>
      <c r="J449" s="43">
        <v>10</v>
      </c>
      <c r="K449" s="43">
        <v>64264</v>
      </c>
      <c r="L449" s="43">
        <v>111</v>
      </c>
      <c r="M449" s="43">
        <v>44052700</v>
      </c>
      <c r="N449" s="43">
        <v>102</v>
      </c>
      <c r="O449" s="43">
        <v>32801200</v>
      </c>
      <c r="P449" s="43">
        <v>1</v>
      </c>
      <c r="Q449" s="43">
        <v>6000</v>
      </c>
      <c r="R449" s="43">
        <v>8</v>
      </c>
      <c r="S449" s="43">
        <v>11245500</v>
      </c>
      <c r="T449" s="44">
        <f t="shared" si="36"/>
        <v>2720</v>
      </c>
      <c r="U449" s="44">
        <f t="shared" si="36"/>
        <v>421077264</v>
      </c>
      <c r="V449" s="45">
        <f t="shared" si="37"/>
        <v>0.86495859819208853</v>
      </c>
      <c r="W449" s="44">
        <f t="shared" si="38"/>
        <v>2468</v>
      </c>
      <c r="X449" s="44">
        <f t="shared" si="39"/>
        <v>375459900</v>
      </c>
      <c r="Y449" s="43">
        <f t="shared" si="40"/>
        <v>147574.71636952998</v>
      </c>
      <c r="Z449" s="45">
        <f t="shared" si="41"/>
        <v>2.6706500116330193E-2</v>
      </c>
    </row>
    <row r="450" spans="1:26">
      <c r="A450" s="42" t="s">
        <v>962</v>
      </c>
      <c r="B450" s="42" t="s">
        <v>963</v>
      </c>
      <c r="C450" s="42" t="s">
        <v>22</v>
      </c>
      <c r="D450" s="43">
        <v>376</v>
      </c>
      <c r="E450" s="43">
        <v>54923000</v>
      </c>
      <c r="F450" s="43">
        <v>21135</v>
      </c>
      <c r="G450" s="43">
        <v>3745403300</v>
      </c>
      <c r="H450" s="43"/>
      <c r="I450" s="43"/>
      <c r="J450" s="43">
        <v>1</v>
      </c>
      <c r="K450" s="43">
        <v>11600</v>
      </c>
      <c r="L450" s="43">
        <v>1641</v>
      </c>
      <c r="M450" s="43">
        <v>1511390000</v>
      </c>
      <c r="N450" s="43">
        <v>1092</v>
      </c>
      <c r="O450" s="43">
        <v>744422200</v>
      </c>
      <c r="P450" s="43">
        <v>434</v>
      </c>
      <c r="Q450" s="43">
        <v>634379500</v>
      </c>
      <c r="R450" s="43">
        <v>115</v>
      </c>
      <c r="S450" s="43">
        <v>132588300</v>
      </c>
      <c r="T450" s="44">
        <f t="shared" ref="T450:U513" si="42">R450+P450+N450+J450+H450+F450+D450</f>
        <v>23153</v>
      </c>
      <c r="U450" s="44">
        <f t="shared" si="42"/>
        <v>5311727900</v>
      </c>
      <c r="V450" s="45">
        <f t="shared" ref="V450:V513" si="43">(G450+I450)/U450</f>
        <v>0.70511957135454928</v>
      </c>
      <c r="W450" s="44">
        <f t="shared" ref="W450:W513" si="44">F450+H450</f>
        <v>21135</v>
      </c>
      <c r="X450" s="44">
        <f t="shared" ref="X450:X513" si="45">G450+I450+S450</f>
        <v>3877991600</v>
      </c>
      <c r="Y450" s="43">
        <f t="shared" ref="Y450:Y513" si="46">(G450+I450)/(H450+F450)</f>
        <v>177213.30967589308</v>
      </c>
      <c r="Z450" s="45">
        <f t="shared" ref="Z450:Z513" si="47">S450/U450</f>
        <v>2.4961425452534946E-2</v>
      </c>
    </row>
    <row r="451" spans="1:26">
      <c r="A451" s="42" t="s">
        <v>964</v>
      </c>
      <c r="B451" s="42" t="s">
        <v>965</v>
      </c>
      <c r="C451" s="42" t="s">
        <v>22</v>
      </c>
      <c r="D451" s="43">
        <v>133</v>
      </c>
      <c r="E451" s="43">
        <v>3850100</v>
      </c>
      <c r="F451" s="43">
        <v>1658</v>
      </c>
      <c r="G451" s="43">
        <v>265559200</v>
      </c>
      <c r="H451" s="43"/>
      <c r="I451" s="43"/>
      <c r="J451" s="43"/>
      <c r="K451" s="43"/>
      <c r="L451" s="43">
        <v>164</v>
      </c>
      <c r="M451" s="43">
        <v>58954900</v>
      </c>
      <c r="N451" s="43">
        <v>129</v>
      </c>
      <c r="O451" s="43">
        <v>36981100</v>
      </c>
      <c r="P451" s="43">
        <v>27</v>
      </c>
      <c r="Q451" s="43">
        <v>13454800</v>
      </c>
      <c r="R451" s="43">
        <v>8</v>
      </c>
      <c r="S451" s="43">
        <v>8519000</v>
      </c>
      <c r="T451" s="44">
        <f t="shared" si="42"/>
        <v>1955</v>
      </c>
      <c r="U451" s="44">
        <f t="shared" si="42"/>
        <v>328364200</v>
      </c>
      <c r="V451" s="45">
        <f t="shared" si="43"/>
        <v>0.80873371701299956</v>
      </c>
      <c r="W451" s="44">
        <f t="shared" si="44"/>
        <v>1658</v>
      </c>
      <c r="X451" s="44">
        <f t="shared" si="45"/>
        <v>274078200</v>
      </c>
      <c r="Y451" s="43">
        <f t="shared" si="46"/>
        <v>160168.39565741859</v>
      </c>
      <c r="Z451" s="45">
        <f t="shared" si="47"/>
        <v>2.594375391714444E-2</v>
      </c>
    </row>
    <row r="452" spans="1:26">
      <c r="A452" s="42" t="s">
        <v>966</v>
      </c>
      <c r="B452" s="42" t="s">
        <v>967</v>
      </c>
      <c r="C452" s="42" t="s">
        <v>22</v>
      </c>
      <c r="D452" s="43">
        <v>157</v>
      </c>
      <c r="E452" s="43">
        <v>9824500</v>
      </c>
      <c r="F452" s="43">
        <v>5416</v>
      </c>
      <c r="G452" s="43">
        <v>994885650</v>
      </c>
      <c r="H452" s="43"/>
      <c r="I452" s="43"/>
      <c r="J452" s="43"/>
      <c r="K452" s="43"/>
      <c r="L452" s="43">
        <v>401</v>
      </c>
      <c r="M452" s="43">
        <v>228161800</v>
      </c>
      <c r="N452" s="43">
        <v>274</v>
      </c>
      <c r="O452" s="43">
        <v>121641800</v>
      </c>
      <c r="P452" s="43">
        <v>109</v>
      </c>
      <c r="Q452" s="43">
        <v>83619800</v>
      </c>
      <c r="R452" s="43">
        <v>18</v>
      </c>
      <c r="S452" s="43">
        <v>22900200</v>
      </c>
      <c r="T452" s="44">
        <f t="shared" si="42"/>
        <v>5974</v>
      </c>
      <c r="U452" s="44">
        <f t="shared" si="42"/>
        <v>1232871950</v>
      </c>
      <c r="V452" s="45">
        <f t="shared" si="43"/>
        <v>0.80696592213003138</v>
      </c>
      <c r="W452" s="44">
        <f t="shared" si="44"/>
        <v>5416</v>
      </c>
      <c r="X452" s="44">
        <f t="shared" si="45"/>
        <v>1017785850</v>
      </c>
      <c r="Y452" s="43">
        <f t="shared" si="46"/>
        <v>183693.8053914328</v>
      </c>
      <c r="Z452" s="45">
        <f t="shared" si="47"/>
        <v>1.8574678416521682E-2</v>
      </c>
    </row>
    <row r="453" spans="1:26">
      <c r="A453" s="42" t="s">
        <v>968</v>
      </c>
      <c r="B453" s="42" t="s">
        <v>969</v>
      </c>
      <c r="C453" s="42" t="s">
        <v>22</v>
      </c>
      <c r="D453" s="43">
        <v>172</v>
      </c>
      <c r="E453" s="43">
        <v>16872000</v>
      </c>
      <c r="F453" s="43">
        <v>3661</v>
      </c>
      <c r="G453" s="43">
        <v>542293100</v>
      </c>
      <c r="H453" s="43"/>
      <c r="I453" s="43"/>
      <c r="J453" s="43"/>
      <c r="K453" s="43"/>
      <c r="L453" s="43">
        <v>226</v>
      </c>
      <c r="M453" s="43">
        <v>165343800</v>
      </c>
      <c r="N453" s="43">
        <v>174</v>
      </c>
      <c r="O453" s="43">
        <v>96911800</v>
      </c>
      <c r="P453" s="43">
        <v>43</v>
      </c>
      <c r="Q453" s="43">
        <v>28454700</v>
      </c>
      <c r="R453" s="43">
        <v>9</v>
      </c>
      <c r="S453" s="43">
        <v>39977300</v>
      </c>
      <c r="T453" s="44">
        <f t="shared" si="42"/>
        <v>4059</v>
      </c>
      <c r="U453" s="44">
        <f t="shared" si="42"/>
        <v>724508900</v>
      </c>
      <c r="V453" s="45">
        <f t="shared" si="43"/>
        <v>0.74849749947861233</v>
      </c>
      <c r="W453" s="44">
        <f t="shared" si="44"/>
        <v>3661</v>
      </c>
      <c r="X453" s="44">
        <f t="shared" si="45"/>
        <v>582270400</v>
      </c>
      <c r="Y453" s="43">
        <f t="shared" si="46"/>
        <v>148127.04179186016</v>
      </c>
      <c r="Z453" s="45">
        <f t="shared" si="47"/>
        <v>5.5178480209145807E-2</v>
      </c>
    </row>
    <row r="454" spans="1:26">
      <c r="A454" s="42" t="s">
        <v>970</v>
      </c>
      <c r="B454" s="42" t="s">
        <v>971</v>
      </c>
      <c r="C454" s="42" t="s">
        <v>22</v>
      </c>
      <c r="D454" s="43">
        <v>65</v>
      </c>
      <c r="E454" s="43">
        <v>3379000</v>
      </c>
      <c r="F454" s="43">
        <v>2925</v>
      </c>
      <c r="G454" s="43">
        <v>422150200</v>
      </c>
      <c r="H454" s="43">
        <v>1</v>
      </c>
      <c r="I454" s="43">
        <v>224800</v>
      </c>
      <c r="J454" s="43">
        <v>1</v>
      </c>
      <c r="K454" s="43">
        <v>9300</v>
      </c>
      <c r="L454" s="43">
        <v>90</v>
      </c>
      <c r="M454" s="43">
        <v>19418000</v>
      </c>
      <c r="N454" s="43">
        <v>84</v>
      </c>
      <c r="O454" s="43">
        <v>17270300</v>
      </c>
      <c r="P454" s="43">
        <v>6</v>
      </c>
      <c r="Q454" s="43">
        <v>2147700</v>
      </c>
      <c r="R454" s="43"/>
      <c r="S454" s="43"/>
      <c r="T454" s="44">
        <f t="shared" si="42"/>
        <v>3082</v>
      </c>
      <c r="U454" s="44">
        <f t="shared" si="42"/>
        <v>445181300</v>
      </c>
      <c r="V454" s="45">
        <f t="shared" si="43"/>
        <v>0.94877075923898868</v>
      </c>
      <c r="W454" s="44">
        <f t="shared" si="44"/>
        <v>2926</v>
      </c>
      <c r="X454" s="44">
        <f t="shared" si="45"/>
        <v>422375000</v>
      </c>
      <c r="Y454" s="43">
        <f t="shared" si="46"/>
        <v>144352.35816814765</v>
      </c>
      <c r="Z454" s="45">
        <f t="shared" si="47"/>
        <v>0</v>
      </c>
    </row>
    <row r="455" spans="1:26">
      <c r="A455" s="42" t="s">
        <v>972</v>
      </c>
      <c r="B455" s="42" t="s">
        <v>973</v>
      </c>
      <c r="C455" s="42" t="s">
        <v>22</v>
      </c>
      <c r="D455" s="43">
        <v>248</v>
      </c>
      <c r="E455" s="43">
        <v>8267000</v>
      </c>
      <c r="F455" s="43">
        <v>6257</v>
      </c>
      <c r="G455" s="43">
        <v>818038000</v>
      </c>
      <c r="H455" s="43"/>
      <c r="I455" s="43"/>
      <c r="J455" s="43"/>
      <c r="K455" s="43"/>
      <c r="L455" s="43">
        <v>1674</v>
      </c>
      <c r="M455" s="43">
        <v>540904200</v>
      </c>
      <c r="N455" s="43">
        <v>1148</v>
      </c>
      <c r="O455" s="43">
        <v>298389400</v>
      </c>
      <c r="P455" s="43">
        <v>119</v>
      </c>
      <c r="Q455" s="43">
        <v>90357100</v>
      </c>
      <c r="R455" s="43">
        <v>407</v>
      </c>
      <c r="S455" s="43">
        <v>152157700</v>
      </c>
      <c r="T455" s="44">
        <f t="shared" si="42"/>
        <v>8179</v>
      </c>
      <c r="U455" s="44">
        <f t="shared" si="42"/>
        <v>1367209200</v>
      </c>
      <c r="V455" s="45">
        <f t="shared" si="43"/>
        <v>0.59832686907021981</v>
      </c>
      <c r="W455" s="44">
        <f t="shared" si="44"/>
        <v>6257</v>
      </c>
      <c r="X455" s="44">
        <f t="shared" si="45"/>
        <v>970195700</v>
      </c>
      <c r="Y455" s="43">
        <f t="shared" si="46"/>
        <v>130739.65159021896</v>
      </c>
      <c r="Z455" s="45">
        <f t="shared" si="47"/>
        <v>0.11129072273650586</v>
      </c>
    </row>
    <row r="456" spans="1:26">
      <c r="A456" s="42" t="s">
        <v>974</v>
      </c>
      <c r="B456" s="42" t="s">
        <v>975</v>
      </c>
      <c r="C456" s="42" t="s">
        <v>22</v>
      </c>
      <c r="D456" s="43">
        <v>1521</v>
      </c>
      <c r="E456" s="43">
        <v>188322400</v>
      </c>
      <c r="F456" s="43">
        <v>17500</v>
      </c>
      <c r="G456" s="43">
        <v>6301093300</v>
      </c>
      <c r="H456" s="43"/>
      <c r="I456" s="43"/>
      <c r="J456" s="43"/>
      <c r="K456" s="43"/>
      <c r="L456" s="43">
        <v>4413</v>
      </c>
      <c r="M456" s="43">
        <v>2828802250</v>
      </c>
      <c r="N456" s="43">
        <v>3403</v>
      </c>
      <c r="O456" s="43">
        <v>1713639200</v>
      </c>
      <c r="P456" s="43">
        <v>517</v>
      </c>
      <c r="Q456" s="43">
        <v>629668600</v>
      </c>
      <c r="R456" s="43">
        <v>493</v>
      </c>
      <c r="S456" s="43">
        <v>485494450</v>
      </c>
      <c r="T456" s="44">
        <f t="shared" si="42"/>
        <v>23434</v>
      </c>
      <c r="U456" s="44">
        <f t="shared" si="42"/>
        <v>9318217950</v>
      </c>
      <c r="V456" s="45">
        <f t="shared" si="43"/>
        <v>0.67621226867740303</v>
      </c>
      <c r="W456" s="44">
        <f t="shared" si="44"/>
        <v>17500</v>
      </c>
      <c r="X456" s="44">
        <f t="shared" si="45"/>
        <v>6786587750</v>
      </c>
      <c r="Y456" s="43">
        <f t="shared" si="46"/>
        <v>360062.47428571427</v>
      </c>
      <c r="Z456" s="45">
        <f t="shared" si="47"/>
        <v>5.2101641387342738E-2</v>
      </c>
    </row>
    <row r="457" spans="1:26">
      <c r="A457" s="42" t="s">
        <v>976</v>
      </c>
      <c r="B457" s="42" t="s">
        <v>977</v>
      </c>
      <c r="C457" s="42" t="s">
        <v>22</v>
      </c>
      <c r="D457" s="43">
        <v>54</v>
      </c>
      <c r="E457" s="43">
        <v>3080300</v>
      </c>
      <c r="F457" s="43">
        <v>3713</v>
      </c>
      <c r="G457" s="43">
        <v>550794900</v>
      </c>
      <c r="H457" s="43"/>
      <c r="I457" s="43"/>
      <c r="J457" s="43"/>
      <c r="K457" s="43"/>
      <c r="L457" s="43">
        <v>178</v>
      </c>
      <c r="M457" s="43">
        <v>86848000</v>
      </c>
      <c r="N457" s="43">
        <v>164</v>
      </c>
      <c r="O457" s="43">
        <v>56518100</v>
      </c>
      <c r="P457" s="43">
        <v>7</v>
      </c>
      <c r="Q457" s="43">
        <v>18436500</v>
      </c>
      <c r="R457" s="43">
        <v>7</v>
      </c>
      <c r="S457" s="43">
        <v>11893400</v>
      </c>
      <c r="T457" s="44">
        <f t="shared" si="42"/>
        <v>3945</v>
      </c>
      <c r="U457" s="44">
        <f t="shared" si="42"/>
        <v>640723200</v>
      </c>
      <c r="V457" s="45">
        <f t="shared" si="43"/>
        <v>0.85964563168619457</v>
      </c>
      <c r="W457" s="44">
        <f t="shared" si="44"/>
        <v>3713</v>
      </c>
      <c r="X457" s="44">
        <f t="shared" si="45"/>
        <v>562688300</v>
      </c>
      <c r="Y457" s="43">
        <f t="shared" si="46"/>
        <v>148342.2838674926</v>
      </c>
      <c r="Z457" s="45">
        <f t="shared" si="47"/>
        <v>1.8562461918032624E-2</v>
      </c>
    </row>
    <row r="458" spans="1:26">
      <c r="A458" s="42" t="s">
        <v>978</v>
      </c>
      <c r="B458" s="42" t="s">
        <v>979</v>
      </c>
      <c r="C458" s="42" t="s">
        <v>22</v>
      </c>
      <c r="D458" s="43">
        <v>26</v>
      </c>
      <c r="E458" s="43">
        <v>3115200</v>
      </c>
      <c r="F458" s="43">
        <v>1085</v>
      </c>
      <c r="G458" s="43">
        <v>160822300</v>
      </c>
      <c r="H458" s="43"/>
      <c r="I458" s="43"/>
      <c r="J458" s="43"/>
      <c r="K458" s="43"/>
      <c r="L458" s="43">
        <v>60</v>
      </c>
      <c r="M458" s="43">
        <v>17484050</v>
      </c>
      <c r="N458" s="43">
        <v>58</v>
      </c>
      <c r="O458" s="43">
        <v>14728350</v>
      </c>
      <c r="P458" s="43">
        <v>2</v>
      </c>
      <c r="Q458" s="43">
        <v>2755700</v>
      </c>
      <c r="R458" s="43"/>
      <c r="S458" s="43"/>
      <c r="T458" s="44">
        <f t="shared" si="42"/>
        <v>1171</v>
      </c>
      <c r="U458" s="44">
        <f t="shared" si="42"/>
        <v>181421550</v>
      </c>
      <c r="V458" s="45">
        <f t="shared" si="43"/>
        <v>0.88645643254618867</v>
      </c>
      <c r="W458" s="44">
        <f t="shared" si="44"/>
        <v>1085</v>
      </c>
      <c r="X458" s="44">
        <f t="shared" si="45"/>
        <v>160822300</v>
      </c>
      <c r="Y458" s="43">
        <f t="shared" si="46"/>
        <v>148223.31797235023</v>
      </c>
      <c r="Z458" s="45">
        <f t="shared" si="47"/>
        <v>0</v>
      </c>
    </row>
    <row r="459" spans="1:26">
      <c r="A459" s="42" t="s">
        <v>980</v>
      </c>
      <c r="B459" s="42" t="s">
        <v>981</v>
      </c>
      <c r="C459" s="42" t="s">
        <v>22</v>
      </c>
      <c r="D459" s="43">
        <v>270</v>
      </c>
      <c r="E459" s="43">
        <v>34544900</v>
      </c>
      <c r="F459" s="43">
        <v>4313</v>
      </c>
      <c r="G459" s="43">
        <v>787768560</v>
      </c>
      <c r="H459" s="43">
        <v>12</v>
      </c>
      <c r="I459" s="43">
        <v>2720400</v>
      </c>
      <c r="J459" s="43">
        <v>44</v>
      </c>
      <c r="K459" s="43">
        <v>133330</v>
      </c>
      <c r="L459" s="43">
        <v>74</v>
      </c>
      <c r="M459" s="43">
        <v>44124000</v>
      </c>
      <c r="N459" s="43">
        <v>49</v>
      </c>
      <c r="O459" s="43">
        <v>26299900</v>
      </c>
      <c r="P459" s="43">
        <v>25</v>
      </c>
      <c r="Q459" s="43">
        <v>17824100</v>
      </c>
      <c r="R459" s="43"/>
      <c r="S459" s="43"/>
      <c r="T459" s="44">
        <f t="shared" si="42"/>
        <v>4713</v>
      </c>
      <c r="U459" s="44">
        <f t="shared" si="42"/>
        <v>869291190</v>
      </c>
      <c r="V459" s="45">
        <f t="shared" si="43"/>
        <v>0.90934886847294516</v>
      </c>
      <c r="W459" s="44">
        <f t="shared" si="44"/>
        <v>4325</v>
      </c>
      <c r="X459" s="44">
        <f t="shared" si="45"/>
        <v>790488960</v>
      </c>
      <c r="Y459" s="43">
        <f t="shared" si="46"/>
        <v>182772.01387283238</v>
      </c>
      <c r="Z459" s="45">
        <f t="shared" si="47"/>
        <v>0</v>
      </c>
    </row>
    <row r="460" spans="1:26">
      <c r="A460" s="42" t="s">
        <v>982</v>
      </c>
      <c r="B460" s="42" t="s">
        <v>983</v>
      </c>
      <c r="C460" s="42" t="s">
        <v>22</v>
      </c>
      <c r="D460" s="43">
        <v>95</v>
      </c>
      <c r="E460" s="43">
        <v>13260200</v>
      </c>
      <c r="F460" s="43">
        <v>3423</v>
      </c>
      <c r="G460" s="43">
        <v>658512500</v>
      </c>
      <c r="H460" s="43">
        <v>1</v>
      </c>
      <c r="I460" s="43">
        <v>550800</v>
      </c>
      <c r="J460" s="43">
        <v>1</v>
      </c>
      <c r="K460" s="43">
        <v>500</v>
      </c>
      <c r="L460" s="43">
        <v>286</v>
      </c>
      <c r="M460" s="43">
        <v>498018100</v>
      </c>
      <c r="N460" s="43">
        <v>223</v>
      </c>
      <c r="O460" s="43">
        <v>320241600</v>
      </c>
      <c r="P460" s="43">
        <v>63</v>
      </c>
      <c r="Q460" s="43">
        <v>177776500</v>
      </c>
      <c r="R460" s="43"/>
      <c r="S460" s="43"/>
      <c r="T460" s="44">
        <f t="shared" si="42"/>
        <v>3806</v>
      </c>
      <c r="U460" s="44">
        <f t="shared" si="42"/>
        <v>1170342100</v>
      </c>
      <c r="V460" s="45">
        <f t="shared" si="43"/>
        <v>0.56313730831352649</v>
      </c>
      <c r="W460" s="44">
        <f t="shared" si="44"/>
        <v>3424</v>
      </c>
      <c r="X460" s="44">
        <f t="shared" si="45"/>
        <v>659063300</v>
      </c>
      <c r="Y460" s="43">
        <f t="shared" si="46"/>
        <v>192483.44042056074</v>
      </c>
      <c r="Z460" s="45">
        <f t="shared" si="47"/>
        <v>0</v>
      </c>
    </row>
    <row r="461" spans="1:26">
      <c r="A461" s="42" t="s">
        <v>984</v>
      </c>
      <c r="B461" s="42" t="s">
        <v>985</v>
      </c>
      <c r="C461" s="42" t="s">
        <v>22</v>
      </c>
      <c r="D461" s="43">
        <v>389</v>
      </c>
      <c r="E461" s="43">
        <v>24025200</v>
      </c>
      <c r="F461" s="43">
        <v>3727</v>
      </c>
      <c r="G461" s="43">
        <v>498917774</v>
      </c>
      <c r="H461" s="43"/>
      <c r="I461" s="43"/>
      <c r="J461" s="43"/>
      <c r="K461" s="43"/>
      <c r="L461" s="43">
        <v>117</v>
      </c>
      <c r="M461" s="43">
        <v>53400610</v>
      </c>
      <c r="N461" s="43">
        <v>94</v>
      </c>
      <c r="O461" s="43">
        <v>40972420</v>
      </c>
      <c r="P461" s="43">
        <v>19</v>
      </c>
      <c r="Q461" s="43">
        <v>10828090</v>
      </c>
      <c r="R461" s="43">
        <v>4</v>
      </c>
      <c r="S461" s="43">
        <v>1600100</v>
      </c>
      <c r="T461" s="44">
        <f t="shared" si="42"/>
        <v>4233</v>
      </c>
      <c r="U461" s="44">
        <f t="shared" si="42"/>
        <v>576343584</v>
      </c>
      <c r="V461" s="45">
        <f t="shared" si="43"/>
        <v>0.86566032458860509</v>
      </c>
      <c r="W461" s="44">
        <f t="shared" si="44"/>
        <v>3727</v>
      </c>
      <c r="X461" s="44">
        <f t="shared" si="45"/>
        <v>500517874</v>
      </c>
      <c r="Y461" s="43">
        <f t="shared" si="46"/>
        <v>133865.78320364904</v>
      </c>
      <c r="Z461" s="45">
        <f t="shared" si="47"/>
        <v>2.7762953287253042E-3</v>
      </c>
    </row>
    <row r="462" spans="1:26">
      <c r="A462" s="42" t="s">
        <v>986</v>
      </c>
      <c r="B462" s="42" t="s">
        <v>987</v>
      </c>
      <c r="C462" s="42" t="s">
        <v>22</v>
      </c>
      <c r="D462" s="43">
        <v>468</v>
      </c>
      <c r="E462" s="43">
        <v>68260300</v>
      </c>
      <c r="F462" s="43">
        <v>16705</v>
      </c>
      <c r="G462" s="43">
        <v>3838488400</v>
      </c>
      <c r="H462" s="43">
        <v>6</v>
      </c>
      <c r="I462" s="43">
        <v>1405200</v>
      </c>
      <c r="J462" s="43">
        <v>9</v>
      </c>
      <c r="K462" s="43">
        <v>75100</v>
      </c>
      <c r="L462" s="43">
        <v>660</v>
      </c>
      <c r="M462" s="43">
        <v>1426322500</v>
      </c>
      <c r="N462" s="43">
        <v>566</v>
      </c>
      <c r="O462" s="43">
        <v>1127402400</v>
      </c>
      <c r="P462" s="43">
        <v>85</v>
      </c>
      <c r="Q462" s="43">
        <v>206519700</v>
      </c>
      <c r="R462" s="43">
        <v>9</v>
      </c>
      <c r="S462" s="43">
        <v>92400400</v>
      </c>
      <c r="T462" s="44">
        <f t="shared" si="42"/>
        <v>17848</v>
      </c>
      <c r="U462" s="44">
        <f t="shared" si="42"/>
        <v>5334551500</v>
      </c>
      <c r="V462" s="45">
        <f t="shared" si="43"/>
        <v>0.71981563960906558</v>
      </c>
      <c r="W462" s="44">
        <f t="shared" si="44"/>
        <v>16711</v>
      </c>
      <c r="X462" s="44">
        <f t="shared" si="45"/>
        <v>3932294000</v>
      </c>
      <c r="Y462" s="43">
        <f t="shared" si="46"/>
        <v>229782.39482975286</v>
      </c>
      <c r="Z462" s="45">
        <f t="shared" si="47"/>
        <v>1.7321118748220916E-2</v>
      </c>
    </row>
    <row r="463" spans="1:26">
      <c r="A463" s="42" t="s">
        <v>988</v>
      </c>
      <c r="B463" s="42" t="s">
        <v>989</v>
      </c>
      <c r="C463" s="42" t="s">
        <v>22</v>
      </c>
      <c r="D463" s="43">
        <v>1255</v>
      </c>
      <c r="E463" s="43">
        <v>50439100</v>
      </c>
      <c r="F463" s="43">
        <v>9885</v>
      </c>
      <c r="G463" s="43">
        <v>1332623200</v>
      </c>
      <c r="H463" s="43">
        <v>120</v>
      </c>
      <c r="I463" s="43">
        <v>27786700</v>
      </c>
      <c r="J463" s="43">
        <v>252</v>
      </c>
      <c r="K463" s="43">
        <v>649500</v>
      </c>
      <c r="L463" s="43">
        <v>308</v>
      </c>
      <c r="M463" s="43">
        <v>99928400</v>
      </c>
      <c r="N463" s="43">
        <v>279</v>
      </c>
      <c r="O463" s="43">
        <v>89833700</v>
      </c>
      <c r="P463" s="43">
        <v>28</v>
      </c>
      <c r="Q463" s="43">
        <v>9544700</v>
      </c>
      <c r="R463" s="43">
        <v>1</v>
      </c>
      <c r="S463" s="43">
        <v>550000</v>
      </c>
      <c r="T463" s="44">
        <f t="shared" si="42"/>
        <v>11820</v>
      </c>
      <c r="U463" s="44">
        <f t="shared" si="42"/>
        <v>1511426900</v>
      </c>
      <c r="V463" s="45">
        <f t="shared" si="43"/>
        <v>0.90008315982731291</v>
      </c>
      <c r="W463" s="44">
        <f t="shared" si="44"/>
        <v>10005</v>
      </c>
      <c r="X463" s="44">
        <f t="shared" si="45"/>
        <v>1360959900</v>
      </c>
      <c r="Y463" s="43">
        <f t="shared" si="46"/>
        <v>135973.00349825088</v>
      </c>
      <c r="Z463" s="45">
        <f t="shared" si="47"/>
        <v>3.6389454230303827E-4</v>
      </c>
    </row>
    <row r="464" spans="1:26">
      <c r="A464" s="42" t="s">
        <v>990</v>
      </c>
      <c r="B464" s="42" t="s">
        <v>991</v>
      </c>
      <c r="C464" s="42" t="s">
        <v>22</v>
      </c>
      <c r="D464" s="43">
        <v>412</v>
      </c>
      <c r="E464" s="43">
        <v>30631513</v>
      </c>
      <c r="F464" s="43">
        <v>3088</v>
      </c>
      <c r="G464" s="43">
        <v>584381724</v>
      </c>
      <c r="H464" s="43"/>
      <c r="I464" s="43"/>
      <c r="J464" s="43">
        <v>1</v>
      </c>
      <c r="K464" s="43">
        <v>1680</v>
      </c>
      <c r="L464" s="43">
        <v>238</v>
      </c>
      <c r="M464" s="43">
        <v>211962360</v>
      </c>
      <c r="N464" s="43">
        <v>199</v>
      </c>
      <c r="O464" s="43">
        <v>143528760</v>
      </c>
      <c r="P464" s="43">
        <v>32</v>
      </c>
      <c r="Q464" s="43">
        <v>34306600</v>
      </c>
      <c r="R464" s="43">
        <v>7</v>
      </c>
      <c r="S464" s="43">
        <v>34127000</v>
      </c>
      <c r="T464" s="44">
        <f t="shared" si="42"/>
        <v>3739</v>
      </c>
      <c r="U464" s="44">
        <f t="shared" si="42"/>
        <v>826977277</v>
      </c>
      <c r="V464" s="45">
        <f t="shared" si="43"/>
        <v>0.70664786113585076</v>
      </c>
      <c r="W464" s="44">
        <f t="shared" si="44"/>
        <v>3088</v>
      </c>
      <c r="X464" s="44">
        <f t="shared" si="45"/>
        <v>618508724</v>
      </c>
      <c r="Y464" s="43">
        <f t="shared" si="46"/>
        <v>189242.78626943004</v>
      </c>
      <c r="Z464" s="45">
        <f t="shared" si="47"/>
        <v>4.1267155639150649E-2</v>
      </c>
    </row>
    <row r="465" spans="1:26">
      <c r="A465" s="42" t="s">
        <v>992</v>
      </c>
      <c r="B465" s="42" t="s">
        <v>993</v>
      </c>
      <c r="C465" s="42" t="s">
        <v>23</v>
      </c>
      <c r="D465" s="43">
        <v>407</v>
      </c>
      <c r="E465" s="43">
        <v>8050700</v>
      </c>
      <c r="F465" s="43">
        <v>1061</v>
      </c>
      <c r="G465" s="43">
        <v>142951300</v>
      </c>
      <c r="H465" s="43">
        <v>223</v>
      </c>
      <c r="I465" s="43">
        <v>33825300</v>
      </c>
      <c r="J465" s="43">
        <v>469</v>
      </c>
      <c r="K465" s="43">
        <v>4815800</v>
      </c>
      <c r="L465" s="43">
        <v>29</v>
      </c>
      <c r="M465" s="43">
        <v>8107900</v>
      </c>
      <c r="N465" s="43">
        <v>29</v>
      </c>
      <c r="O465" s="43">
        <v>8107900</v>
      </c>
      <c r="P465" s="43"/>
      <c r="Q465" s="43"/>
      <c r="R465" s="43"/>
      <c r="S465" s="43"/>
      <c r="T465" s="44">
        <f t="shared" si="42"/>
        <v>2189</v>
      </c>
      <c r="U465" s="44">
        <f t="shared" si="42"/>
        <v>197751000</v>
      </c>
      <c r="V465" s="45">
        <f t="shared" si="43"/>
        <v>0.89393530247634656</v>
      </c>
      <c r="W465" s="44">
        <f t="shared" si="44"/>
        <v>1284</v>
      </c>
      <c r="X465" s="44">
        <f t="shared" si="45"/>
        <v>176776600</v>
      </c>
      <c r="Y465" s="43">
        <f t="shared" si="46"/>
        <v>137676.47975077882</v>
      </c>
      <c r="Z465" s="45">
        <f t="shared" si="47"/>
        <v>0</v>
      </c>
    </row>
    <row r="466" spans="1:26">
      <c r="A466" s="42" t="s">
        <v>994</v>
      </c>
      <c r="B466" s="42" t="s">
        <v>995</v>
      </c>
      <c r="C466" s="42" t="s">
        <v>23</v>
      </c>
      <c r="D466" s="43">
        <v>71</v>
      </c>
      <c r="E466" s="43">
        <v>1491600</v>
      </c>
      <c r="F466" s="43">
        <v>476</v>
      </c>
      <c r="G466" s="43">
        <v>79965200</v>
      </c>
      <c r="H466" s="43">
        <v>4</v>
      </c>
      <c r="I466" s="43">
        <v>470800</v>
      </c>
      <c r="J466" s="43">
        <v>18</v>
      </c>
      <c r="K466" s="43">
        <v>91100</v>
      </c>
      <c r="L466" s="43">
        <v>62</v>
      </c>
      <c r="M466" s="43">
        <v>22186000</v>
      </c>
      <c r="N466" s="43">
        <v>62</v>
      </c>
      <c r="O466" s="43">
        <v>22186000</v>
      </c>
      <c r="P466" s="43"/>
      <c r="Q466" s="43"/>
      <c r="R466" s="43"/>
      <c r="S466" s="43"/>
      <c r="T466" s="44">
        <f t="shared" si="42"/>
        <v>631</v>
      </c>
      <c r="U466" s="44">
        <f t="shared" si="42"/>
        <v>104204700</v>
      </c>
      <c r="V466" s="45">
        <f t="shared" si="43"/>
        <v>0.77190376249823667</v>
      </c>
      <c r="W466" s="44">
        <f t="shared" si="44"/>
        <v>480</v>
      </c>
      <c r="X466" s="44">
        <f t="shared" si="45"/>
        <v>80436000</v>
      </c>
      <c r="Y466" s="43">
        <f t="shared" si="46"/>
        <v>167575</v>
      </c>
      <c r="Z466" s="45">
        <f t="shared" si="47"/>
        <v>0</v>
      </c>
    </row>
    <row r="467" spans="1:26">
      <c r="A467" s="42" t="s">
        <v>996</v>
      </c>
      <c r="B467" s="42" t="s">
        <v>997</v>
      </c>
      <c r="C467" s="42" t="s">
        <v>23</v>
      </c>
      <c r="D467" s="43">
        <v>148</v>
      </c>
      <c r="E467" s="43">
        <v>4237500</v>
      </c>
      <c r="F467" s="43">
        <v>544</v>
      </c>
      <c r="G467" s="43">
        <v>100277500</v>
      </c>
      <c r="H467" s="43">
        <v>46</v>
      </c>
      <c r="I467" s="43">
        <v>11159000</v>
      </c>
      <c r="J467" s="43">
        <v>95</v>
      </c>
      <c r="K467" s="43">
        <v>1391400</v>
      </c>
      <c r="L467" s="43">
        <v>11</v>
      </c>
      <c r="M467" s="43">
        <v>4901100</v>
      </c>
      <c r="N467" s="43">
        <v>11</v>
      </c>
      <c r="O467" s="43">
        <v>4901100</v>
      </c>
      <c r="P467" s="43"/>
      <c r="Q467" s="43"/>
      <c r="R467" s="43"/>
      <c r="S467" s="43"/>
      <c r="T467" s="44">
        <f t="shared" si="42"/>
        <v>844</v>
      </c>
      <c r="U467" s="44">
        <f t="shared" si="42"/>
        <v>121966500</v>
      </c>
      <c r="V467" s="45">
        <f t="shared" si="43"/>
        <v>0.91366481779832986</v>
      </c>
      <c r="W467" s="44">
        <f t="shared" si="44"/>
        <v>590</v>
      </c>
      <c r="X467" s="44">
        <f t="shared" si="45"/>
        <v>111436500</v>
      </c>
      <c r="Y467" s="43">
        <f t="shared" si="46"/>
        <v>188875.42372881356</v>
      </c>
      <c r="Z467" s="45">
        <f t="shared" si="47"/>
        <v>0</v>
      </c>
    </row>
    <row r="468" spans="1:26">
      <c r="A468" s="42" t="s">
        <v>998</v>
      </c>
      <c r="B468" s="42" t="s">
        <v>999</v>
      </c>
      <c r="C468" s="42" t="s">
        <v>23</v>
      </c>
      <c r="D468" s="43">
        <v>180</v>
      </c>
      <c r="E468" s="43">
        <v>2479700</v>
      </c>
      <c r="F468" s="43">
        <v>506</v>
      </c>
      <c r="G468" s="43">
        <v>60678500</v>
      </c>
      <c r="H468" s="43">
        <v>185</v>
      </c>
      <c r="I468" s="43">
        <v>25347500</v>
      </c>
      <c r="J468" s="43">
        <v>385</v>
      </c>
      <c r="K468" s="43">
        <v>4181210</v>
      </c>
      <c r="L468" s="43">
        <v>11</v>
      </c>
      <c r="M468" s="43">
        <v>114521300</v>
      </c>
      <c r="N468" s="43">
        <v>10</v>
      </c>
      <c r="O468" s="43">
        <v>1527200</v>
      </c>
      <c r="P468" s="43">
        <v>1</v>
      </c>
      <c r="Q468" s="43">
        <v>112994100</v>
      </c>
      <c r="R468" s="43"/>
      <c r="S468" s="43"/>
      <c r="T468" s="44">
        <f t="shared" si="42"/>
        <v>1267</v>
      </c>
      <c r="U468" s="44">
        <f t="shared" si="42"/>
        <v>207208210</v>
      </c>
      <c r="V468" s="45">
        <f t="shared" si="43"/>
        <v>0.4151669472942216</v>
      </c>
      <c r="W468" s="44">
        <f t="shared" si="44"/>
        <v>691</v>
      </c>
      <c r="X468" s="44">
        <f t="shared" si="45"/>
        <v>86026000</v>
      </c>
      <c r="Y468" s="43">
        <f t="shared" si="46"/>
        <v>124494.93487698986</v>
      </c>
      <c r="Z468" s="45">
        <f t="shared" si="47"/>
        <v>0</v>
      </c>
    </row>
    <row r="469" spans="1:26">
      <c r="A469" s="42" t="s">
        <v>1000</v>
      </c>
      <c r="B469" s="42" t="s">
        <v>1001</v>
      </c>
      <c r="C469" s="42" t="s">
        <v>23</v>
      </c>
      <c r="D469" s="43">
        <v>206</v>
      </c>
      <c r="E469" s="43">
        <v>3472900</v>
      </c>
      <c r="F469" s="43">
        <v>403</v>
      </c>
      <c r="G469" s="43">
        <v>68289900</v>
      </c>
      <c r="H469" s="43">
        <v>181</v>
      </c>
      <c r="I469" s="43">
        <v>47239500</v>
      </c>
      <c r="J469" s="43">
        <v>434</v>
      </c>
      <c r="K469" s="43">
        <v>7583800</v>
      </c>
      <c r="L469" s="43">
        <v>44</v>
      </c>
      <c r="M469" s="43">
        <v>97740700</v>
      </c>
      <c r="N469" s="43">
        <v>40</v>
      </c>
      <c r="O469" s="43">
        <v>45095300</v>
      </c>
      <c r="P469" s="43">
        <v>4</v>
      </c>
      <c r="Q469" s="43">
        <v>52645400</v>
      </c>
      <c r="R469" s="43"/>
      <c r="S469" s="43"/>
      <c r="T469" s="44">
        <f t="shared" si="42"/>
        <v>1268</v>
      </c>
      <c r="U469" s="44">
        <f t="shared" si="42"/>
        <v>224326800</v>
      </c>
      <c r="V469" s="45">
        <f t="shared" si="43"/>
        <v>0.51500489464477717</v>
      </c>
      <c r="W469" s="44">
        <f t="shared" si="44"/>
        <v>584</v>
      </c>
      <c r="X469" s="44">
        <f t="shared" si="45"/>
        <v>115529400</v>
      </c>
      <c r="Y469" s="43">
        <f t="shared" si="46"/>
        <v>197824.31506849316</v>
      </c>
      <c r="Z469" s="45">
        <f t="shared" si="47"/>
        <v>0</v>
      </c>
    </row>
    <row r="470" spans="1:26">
      <c r="A470" s="42" t="s">
        <v>1002</v>
      </c>
      <c r="B470" s="42" t="s">
        <v>1003</v>
      </c>
      <c r="C470" s="42" t="s">
        <v>23</v>
      </c>
      <c r="D470" s="43">
        <v>228</v>
      </c>
      <c r="E470" s="43">
        <v>4577310</v>
      </c>
      <c r="F470" s="43">
        <v>581</v>
      </c>
      <c r="G470" s="43">
        <v>54299400</v>
      </c>
      <c r="H470" s="43">
        <v>103</v>
      </c>
      <c r="I470" s="43">
        <v>10813600</v>
      </c>
      <c r="J470" s="43">
        <v>257</v>
      </c>
      <c r="K470" s="43">
        <v>3032070</v>
      </c>
      <c r="L470" s="43">
        <v>52</v>
      </c>
      <c r="M470" s="43">
        <v>41832370</v>
      </c>
      <c r="N470" s="43">
        <v>38</v>
      </c>
      <c r="O470" s="43">
        <v>6695000</v>
      </c>
      <c r="P470" s="43">
        <v>14</v>
      </c>
      <c r="Q470" s="43">
        <v>35137370</v>
      </c>
      <c r="R470" s="43"/>
      <c r="S470" s="43"/>
      <c r="T470" s="44">
        <f t="shared" si="42"/>
        <v>1221</v>
      </c>
      <c r="U470" s="44">
        <f t="shared" si="42"/>
        <v>114554750</v>
      </c>
      <c r="V470" s="45">
        <f t="shared" si="43"/>
        <v>0.5684006992289713</v>
      </c>
      <c r="W470" s="44">
        <f t="shared" si="44"/>
        <v>684</v>
      </c>
      <c r="X470" s="44">
        <f t="shared" si="45"/>
        <v>65113000</v>
      </c>
      <c r="Y470" s="43">
        <f t="shared" si="46"/>
        <v>95194.444444444438</v>
      </c>
      <c r="Z470" s="45">
        <f t="shared" si="47"/>
        <v>0</v>
      </c>
    </row>
    <row r="471" spans="1:26">
      <c r="A471" s="42" t="s">
        <v>1004</v>
      </c>
      <c r="B471" s="42" t="s">
        <v>1005</v>
      </c>
      <c r="C471" s="42" t="s">
        <v>23</v>
      </c>
      <c r="D471" s="43">
        <v>331</v>
      </c>
      <c r="E471" s="43">
        <v>2494200</v>
      </c>
      <c r="F471" s="43">
        <v>1226</v>
      </c>
      <c r="G471" s="43">
        <v>71006200</v>
      </c>
      <c r="H471" s="43"/>
      <c r="I471" s="43"/>
      <c r="J471" s="43"/>
      <c r="K471" s="43"/>
      <c r="L471" s="43">
        <v>120</v>
      </c>
      <c r="M471" s="43">
        <v>17246400</v>
      </c>
      <c r="N471" s="43">
        <v>108</v>
      </c>
      <c r="O471" s="43">
        <v>15073100</v>
      </c>
      <c r="P471" s="43"/>
      <c r="Q471" s="43"/>
      <c r="R471" s="43">
        <v>12</v>
      </c>
      <c r="S471" s="43">
        <v>2173300</v>
      </c>
      <c r="T471" s="44">
        <f t="shared" si="42"/>
        <v>1677</v>
      </c>
      <c r="U471" s="44">
        <f t="shared" si="42"/>
        <v>90746800</v>
      </c>
      <c r="V471" s="45">
        <f t="shared" si="43"/>
        <v>0.78246505661907639</v>
      </c>
      <c r="W471" s="44">
        <f t="shared" si="44"/>
        <v>1226</v>
      </c>
      <c r="X471" s="44">
        <f t="shared" si="45"/>
        <v>73179500</v>
      </c>
      <c r="Y471" s="43">
        <f t="shared" si="46"/>
        <v>57916.965742251225</v>
      </c>
      <c r="Z471" s="45">
        <f t="shared" si="47"/>
        <v>2.3949053850934689E-2</v>
      </c>
    </row>
    <row r="472" spans="1:26">
      <c r="A472" s="42" t="s">
        <v>1006</v>
      </c>
      <c r="B472" s="42" t="s">
        <v>1007</v>
      </c>
      <c r="C472" s="42" t="s">
        <v>23</v>
      </c>
      <c r="D472" s="43">
        <v>791</v>
      </c>
      <c r="E472" s="43">
        <v>13341700</v>
      </c>
      <c r="F472" s="43">
        <v>4635</v>
      </c>
      <c r="G472" s="43">
        <v>478664200</v>
      </c>
      <c r="H472" s="43">
        <v>53</v>
      </c>
      <c r="I472" s="43">
        <v>6828900</v>
      </c>
      <c r="J472" s="43">
        <v>219</v>
      </c>
      <c r="K472" s="43">
        <v>2082600</v>
      </c>
      <c r="L472" s="43">
        <v>216</v>
      </c>
      <c r="M472" s="43">
        <v>247645900</v>
      </c>
      <c r="N472" s="43">
        <v>199</v>
      </c>
      <c r="O472" s="43">
        <v>79972000</v>
      </c>
      <c r="P472" s="43">
        <v>3</v>
      </c>
      <c r="Q472" s="43">
        <v>150160900</v>
      </c>
      <c r="R472" s="43">
        <v>14</v>
      </c>
      <c r="S472" s="43">
        <v>17513000</v>
      </c>
      <c r="T472" s="44">
        <f t="shared" si="42"/>
        <v>5914</v>
      </c>
      <c r="U472" s="44">
        <f t="shared" si="42"/>
        <v>748563300</v>
      </c>
      <c r="V472" s="45">
        <f t="shared" si="43"/>
        <v>0.64856652737316933</v>
      </c>
      <c r="W472" s="44">
        <f t="shared" si="44"/>
        <v>4688</v>
      </c>
      <c r="X472" s="44">
        <f t="shared" si="45"/>
        <v>503006100</v>
      </c>
      <c r="Y472" s="43">
        <f t="shared" si="46"/>
        <v>103560.81484641638</v>
      </c>
      <c r="Z472" s="45">
        <f t="shared" si="47"/>
        <v>2.3395483054004917E-2</v>
      </c>
    </row>
    <row r="473" spans="1:26">
      <c r="A473" s="42" t="s">
        <v>1008</v>
      </c>
      <c r="B473" s="42" t="s">
        <v>1009</v>
      </c>
      <c r="C473" s="42" t="s">
        <v>23</v>
      </c>
      <c r="D473" s="43">
        <v>199</v>
      </c>
      <c r="E473" s="43">
        <v>10341800</v>
      </c>
      <c r="F473" s="43">
        <v>1189</v>
      </c>
      <c r="G473" s="43">
        <v>342802300</v>
      </c>
      <c r="H473" s="43">
        <v>230</v>
      </c>
      <c r="I473" s="43">
        <v>65995200</v>
      </c>
      <c r="J473" s="43">
        <v>440</v>
      </c>
      <c r="K473" s="43">
        <v>9538700</v>
      </c>
      <c r="L473" s="43">
        <v>70</v>
      </c>
      <c r="M473" s="43">
        <v>55717800</v>
      </c>
      <c r="N473" s="43">
        <v>66</v>
      </c>
      <c r="O473" s="43">
        <v>48251500</v>
      </c>
      <c r="P473" s="43"/>
      <c r="Q473" s="43"/>
      <c r="R473" s="43">
        <v>4</v>
      </c>
      <c r="S473" s="43">
        <v>7466300</v>
      </c>
      <c r="T473" s="44">
        <f t="shared" si="42"/>
        <v>2128</v>
      </c>
      <c r="U473" s="44">
        <f t="shared" si="42"/>
        <v>484395800</v>
      </c>
      <c r="V473" s="45">
        <f t="shared" si="43"/>
        <v>0.84393279215055128</v>
      </c>
      <c r="W473" s="44">
        <f t="shared" si="44"/>
        <v>1419</v>
      </c>
      <c r="X473" s="44">
        <f t="shared" si="45"/>
        <v>416263800</v>
      </c>
      <c r="Y473" s="43">
        <f t="shared" si="46"/>
        <v>288088.44256518676</v>
      </c>
      <c r="Z473" s="45">
        <f t="shared" si="47"/>
        <v>1.5413634882878837E-2</v>
      </c>
    </row>
    <row r="474" spans="1:26">
      <c r="A474" s="42" t="s">
        <v>1010</v>
      </c>
      <c r="B474" s="42" t="s">
        <v>1011</v>
      </c>
      <c r="C474" s="42" t="s">
        <v>23</v>
      </c>
      <c r="D474" s="43">
        <v>453</v>
      </c>
      <c r="E474" s="43">
        <v>16892800</v>
      </c>
      <c r="F474" s="43">
        <v>2552</v>
      </c>
      <c r="G474" s="43">
        <v>471670200</v>
      </c>
      <c r="H474" s="43">
        <v>287</v>
      </c>
      <c r="I474" s="43">
        <v>53651800</v>
      </c>
      <c r="J474" s="43">
        <v>625</v>
      </c>
      <c r="K474" s="43">
        <v>5236200</v>
      </c>
      <c r="L474" s="43">
        <v>82</v>
      </c>
      <c r="M474" s="43">
        <v>51371500</v>
      </c>
      <c r="N474" s="43">
        <v>82</v>
      </c>
      <c r="O474" s="43">
        <v>51371500</v>
      </c>
      <c r="P474" s="43"/>
      <c r="Q474" s="43"/>
      <c r="R474" s="43"/>
      <c r="S474" s="43"/>
      <c r="T474" s="44">
        <f t="shared" si="42"/>
        <v>3999</v>
      </c>
      <c r="U474" s="44">
        <f t="shared" si="42"/>
        <v>598822500</v>
      </c>
      <c r="V474" s="45">
        <f t="shared" si="43"/>
        <v>0.87725828605304579</v>
      </c>
      <c r="W474" s="44">
        <f t="shared" si="44"/>
        <v>2839</v>
      </c>
      <c r="X474" s="44">
        <f t="shared" si="45"/>
        <v>525322000</v>
      </c>
      <c r="Y474" s="43">
        <f t="shared" si="46"/>
        <v>185037.68932722788</v>
      </c>
      <c r="Z474" s="45">
        <f t="shared" si="47"/>
        <v>0</v>
      </c>
    </row>
    <row r="475" spans="1:26">
      <c r="A475" s="42" t="s">
        <v>1012</v>
      </c>
      <c r="B475" s="42" t="s">
        <v>1013</v>
      </c>
      <c r="C475" s="42" t="s">
        <v>23</v>
      </c>
      <c r="D475" s="43">
        <v>319</v>
      </c>
      <c r="E475" s="43">
        <v>6329800</v>
      </c>
      <c r="F475" s="43">
        <v>840</v>
      </c>
      <c r="G475" s="43">
        <v>132041900</v>
      </c>
      <c r="H475" s="43">
        <v>150</v>
      </c>
      <c r="I475" s="43">
        <v>25787500</v>
      </c>
      <c r="J475" s="43">
        <v>364</v>
      </c>
      <c r="K475" s="43">
        <v>4998700</v>
      </c>
      <c r="L475" s="43">
        <v>58</v>
      </c>
      <c r="M475" s="43">
        <v>16886400</v>
      </c>
      <c r="N475" s="43">
        <v>57</v>
      </c>
      <c r="O475" s="43">
        <v>16367400</v>
      </c>
      <c r="P475" s="43"/>
      <c r="Q475" s="43"/>
      <c r="R475" s="43">
        <v>1</v>
      </c>
      <c r="S475" s="43">
        <v>519000</v>
      </c>
      <c r="T475" s="44">
        <f t="shared" si="42"/>
        <v>1731</v>
      </c>
      <c r="U475" s="44">
        <f t="shared" si="42"/>
        <v>186044300</v>
      </c>
      <c r="V475" s="45">
        <f t="shared" si="43"/>
        <v>0.84834310967871629</v>
      </c>
      <c r="W475" s="44">
        <f t="shared" si="44"/>
        <v>990</v>
      </c>
      <c r="X475" s="44">
        <f t="shared" si="45"/>
        <v>158348400</v>
      </c>
      <c r="Y475" s="43">
        <f t="shared" si="46"/>
        <v>159423.63636363635</v>
      </c>
      <c r="Z475" s="45">
        <f t="shared" si="47"/>
        <v>2.7896581620614016E-3</v>
      </c>
    </row>
    <row r="476" spans="1:26">
      <c r="A476" s="42" t="s">
        <v>1014</v>
      </c>
      <c r="B476" s="42" t="s">
        <v>1015</v>
      </c>
      <c r="C476" s="42" t="s">
        <v>23</v>
      </c>
      <c r="D476" s="43">
        <v>266</v>
      </c>
      <c r="E476" s="43">
        <v>5180600</v>
      </c>
      <c r="F476" s="43">
        <v>1547</v>
      </c>
      <c r="G476" s="43">
        <v>155078300</v>
      </c>
      <c r="H476" s="43">
        <v>4</v>
      </c>
      <c r="I476" s="43">
        <v>534900</v>
      </c>
      <c r="J476" s="43">
        <v>9</v>
      </c>
      <c r="K476" s="43">
        <v>165800</v>
      </c>
      <c r="L476" s="43">
        <v>153</v>
      </c>
      <c r="M476" s="43">
        <v>90170486</v>
      </c>
      <c r="N476" s="43">
        <v>125</v>
      </c>
      <c r="O476" s="43">
        <v>48814990</v>
      </c>
      <c r="P476" s="43">
        <v>16</v>
      </c>
      <c r="Q476" s="43">
        <v>22945396</v>
      </c>
      <c r="R476" s="43">
        <v>12</v>
      </c>
      <c r="S476" s="43">
        <v>18410100</v>
      </c>
      <c r="T476" s="44">
        <f t="shared" si="42"/>
        <v>1979</v>
      </c>
      <c r="U476" s="44">
        <f t="shared" si="42"/>
        <v>251130086</v>
      </c>
      <c r="V476" s="45">
        <f t="shared" si="43"/>
        <v>0.61965176088061391</v>
      </c>
      <c r="W476" s="44">
        <f t="shared" si="44"/>
        <v>1551</v>
      </c>
      <c r="X476" s="44">
        <f t="shared" si="45"/>
        <v>174023300</v>
      </c>
      <c r="Y476" s="43">
        <f t="shared" si="46"/>
        <v>100330.88330109607</v>
      </c>
      <c r="Z476" s="45">
        <f t="shared" si="47"/>
        <v>7.3309018020246294E-2</v>
      </c>
    </row>
    <row r="477" spans="1:26">
      <c r="A477" s="42" t="s">
        <v>1016</v>
      </c>
      <c r="B477" s="42" t="s">
        <v>1017</v>
      </c>
      <c r="C477" s="42" t="s">
        <v>23</v>
      </c>
      <c r="D477" s="43">
        <v>496</v>
      </c>
      <c r="E477" s="43">
        <v>11406300</v>
      </c>
      <c r="F477" s="43">
        <v>2496</v>
      </c>
      <c r="G477" s="43">
        <v>208526550</v>
      </c>
      <c r="H477" s="43">
        <v>72</v>
      </c>
      <c r="I477" s="43">
        <v>6850700</v>
      </c>
      <c r="J477" s="43">
        <v>160</v>
      </c>
      <c r="K477" s="43">
        <v>1926820</v>
      </c>
      <c r="L477" s="43">
        <v>167</v>
      </c>
      <c r="M477" s="43">
        <v>124216500</v>
      </c>
      <c r="N477" s="43">
        <v>151</v>
      </c>
      <c r="O477" s="43">
        <v>67754400</v>
      </c>
      <c r="P477" s="43">
        <v>10</v>
      </c>
      <c r="Q477" s="43">
        <v>42911200</v>
      </c>
      <c r="R477" s="43">
        <v>6</v>
      </c>
      <c r="S477" s="43">
        <v>13550900</v>
      </c>
      <c r="T477" s="44">
        <f t="shared" si="42"/>
        <v>3391</v>
      </c>
      <c r="U477" s="44">
        <f t="shared" si="42"/>
        <v>352926870</v>
      </c>
      <c r="V477" s="45">
        <f t="shared" si="43"/>
        <v>0.61026027856705833</v>
      </c>
      <c r="W477" s="44">
        <f t="shared" si="44"/>
        <v>2568</v>
      </c>
      <c r="X477" s="44">
        <f t="shared" si="45"/>
        <v>228928150</v>
      </c>
      <c r="Y477" s="43">
        <f t="shared" si="46"/>
        <v>83869.645638629285</v>
      </c>
      <c r="Z477" s="45">
        <f t="shared" si="47"/>
        <v>3.8395773039326814E-2</v>
      </c>
    </row>
    <row r="478" spans="1:26">
      <c r="A478" s="42" t="s">
        <v>1018</v>
      </c>
      <c r="B478" s="42" t="s">
        <v>1019</v>
      </c>
      <c r="C478" s="42" t="s">
        <v>23</v>
      </c>
      <c r="D478" s="43">
        <v>163</v>
      </c>
      <c r="E478" s="43">
        <v>13508900</v>
      </c>
      <c r="F478" s="43">
        <v>897</v>
      </c>
      <c r="G478" s="43">
        <v>212145600</v>
      </c>
      <c r="H478" s="43">
        <v>307</v>
      </c>
      <c r="I478" s="43">
        <v>84964000</v>
      </c>
      <c r="J478" s="43">
        <v>681</v>
      </c>
      <c r="K478" s="43">
        <v>10849900</v>
      </c>
      <c r="L478" s="43">
        <v>45</v>
      </c>
      <c r="M478" s="43">
        <v>21650000</v>
      </c>
      <c r="N478" s="43">
        <v>45</v>
      </c>
      <c r="O478" s="43">
        <v>21650000</v>
      </c>
      <c r="P478" s="43"/>
      <c r="Q478" s="43"/>
      <c r="R478" s="43"/>
      <c r="S478" s="43"/>
      <c r="T478" s="44">
        <f t="shared" si="42"/>
        <v>2093</v>
      </c>
      <c r="U478" s="44">
        <f t="shared" si="42"/>
        <v>343118400</v>
      </c>
      <c r="V478" s="45">
        <f t="shared" si="43"/>
        <v>0.86590984336602173</v>
      </c>
      <c r="W478" s="44">
        <f t="shared" si="44"/>
        <v>1204</v>
      </c>
      <c r="X478" s="44">
        <f t="shared" si="45"/>
        <v>297109600</v>
      </c>
      <c r="Y478" s="43">
        <f t="shared" si="46"/>
        <v>246768.7707641196</v>
      </c>
      <c r="Z478" s="45">
        <f t="shared" si="47"/>
        <v>0</v>
      </c>
    </row>
    <row r="479" spans="1:26">
      <c r="A479" s="42" t="s">
        <v>1020</v>
      </c>
      <c r="B479" s="42" t="s">
        <v>1021</v>
      </c>
      <c r="C479" s="42" t="s">
        <v>23</v>
      </c>
      <c r="D479" s="43">
        <v>76</v>
      </c>
      <c r="E479" s="43">
        <v>4298000</v>
      </c>
      <c r="F479" s="43">
        <v>1094</v>
      </c>
      <c r="G479" s="43">
        <v>243424100</v>
      </c>
      <c r="H479" s="43">
        <v>1</v>
      </c>
      <c r="I479" s="43">
        <v>149500</v>
      </c>
      <c r="J479" s="43">
        <v>12</v>
      </c>
      <c r="K479" s="43">
        <v>103400</v>
      </c>
      <c r="L479" s="43">
        <v>97</v>
      </c>
      <c r="M479" s="43">
        <v>50907800</v>
      </c>
      <c r="N479" s="43">
        <v>86</v>
      </c>
      <c r="O479" s="43">
        <v>39192400</v>
      </c>
      <c r="P479" s="43"/>
      <c r="Q479" s="43"/>
      <c r="R479" s="43">
        <v>11</v>
      </c>
      <c r="S479" s="43">
        <v>11715400</v>
      </c>
      <c r="T479" s="44">
        <f t="shared" si="42"/>
        <v>1280</v>
      </c>
      <c r="U479" s="44">
        <f t="shared" si="42"/>
        <v>298882800</v>
      </c>
      <c r="V479" s="45">
        <f t="shared" si="43"/>
        <v>0.8149468621145145</v>
      </c>
      <c r="W479" s="44">
        <f t="shared" si="44"/>
        <v>1095</v>
      </c>
      <c r="X479" s="44">
        <f t="shared" si="45"/>
        <v>255289000</v>
      </c>
      <c r="Y479" s="43">
        <f t="shared" si="46"/>
        <v>222441.64383561644</v>
      </c>
      <c r="Z479" s="45">
        <f t="shared" si="47"/>
        <v>3.9197304093778564E-2</v>
      </c>
    </row>
    <row r="480" spans="1:26">
      <c r="A480" s="42" t="s">
        <v>1022</v>
      </c>
      <c r="B480" s="42" t="s">
        <v>1023</v>
      </c>
      <c r="C480" s="42" t="s">
        <v>24</v>
      </c>
      <c r="D480" s="43">
        <v>87</v>
      </c>
      <c r="E480" s="43">
        <v>14810200</v>
      </c>
      <c r="F480" s="43">
        <v>4049</v>
      </c>
      <c r="G480" s="43">
        <v>1558141100</v>
      </c>
      <c r="H480" s="43">
        <v>213</v>
      </c>
      <c r="I480" s="43">
        <v>476909700</v>
      </c>
      <c r="J480" s="43">
        <v>310</v>
      </c>
      <c r="K480" s="43">
        <v>3364943</v>
      </c>
      <c r="L480" s="43">
        <v>132</v>
      </c>
      <c r="M480" s="43">
        <v>604433600</v>
      </c>
      <c r="N480" s="43">
        <v>131</v>
      </c>
      <c r="O480" s="43">
        <v>603963600</v>
      </c>
      <c r="P480" s="43">
        <v>1</v>
      </c>
      <c r="Q480" s="43">
        <v>470000</v>
      </c>
      <c r="R480" s="43"/>
      <c r="S480" s="43"/>
      <c r="T480" s="44">
        <f t="shared" si="42"/>
        <v>4791</v>
      </c>
      <c r="U480" s="44">
        <f t="shared" si="42"/>
        <v>2657659543</v>
      </c>
      <c r="V480" s="45">
        <f t="shared" si="43"/>
        <v>0.76573043577387967</v>
      </c>
      <c r="W480" s="44">
        <f t="shared" si="44"/>
        <v>4262</v>
      </c>
      <c r="X480" s="44">
        <f t="shared" si="45"/>
        <v>2035050800</v>
      </c>
      <c r="Y480" s="43">
        <f t="shared" si="46"/>
        <v>477487.2829657438</v>
      </c>
      <c r="Z480" s="45">
        <f t="shared" si="47"/>
        <v>0</v>
      </c>
    </row>
    <row r="481" spans="1:26">
      <c r="A481" s="42" t="s">
        <v>1024</v>
      </c>
      <c r="B481" s="42" t="s">
        <v>1025</v>
      </c>
      <c r="C481" s="42" t="s">
        <v>24</v>
      </c>
      <c r="D481" s="43">
        <v>301</v>
      </c>
      <c r="E481" s="43">
        <v>45096900</v>
      </c>
      <c r="F481" s="43">
        <v>9487</v>
      </c>
      <c r="G481" s="43">
        <v>6186564700</v>
      </c>
      <c r="H481" s="43">
        <v>28</v>
      </c>
      <c r="I481" s="43">
        <v>22422300</v>
      </c>
      <c r="J481" s="43">
        <v>50</v>
      </c>
      <c r="K481" s="43">
        <v>372600</v>
      </c>
      <c r="L481" s="43">
        <v>168</v>
      </c>
      <c r="M481" s="43">
        <v>882492080</v>
      </c>
      <c r="N481" s="43">
        <v>159</v>
      </c>
      <c r="O481" s="43">
        <v>864983780</v>
      </c>
      <c r="P481" s="43">
        <v>7</v>
      </c>
      <c r="Q481" s="43">
        <v>8168700</v>
      </c>
      <c r="R481" s="43">
        <v>2</v>
      </c>
      <c r="S481" s="43">
        <v>9339600</v>
      </c>
      <c r="T481" s="44">
        <f t="shared" si="42"/>
        <v>10034</v>
      </c>
      <c r="U481" s="44">
        <f t="shared" si="42"/>
        <v>7136948580</v>
      </c>
      <c r="V481" s="45">
        <f t="shared" si="43"/>
        <v>0.86997782461254614</v>
      </c>
      <c r="W481" s="44">
        <f t="shared" si="44"/>
        <v>9515</v>
      </c>
      <c r="X481" s="44">
        <f t="shared" si="45"/>
        <v>6218326600</v>
      </c>
      <c r="Y481" s="43">
        <f t="shared" si="46"/>
        <v>652547.2411981083</v>
      </c>
      <c r="Z481" s="45">
        <f t="shared" si="47"/>
        <v>1.3086264942657048E-3</v>
      </c>
    </row>
    <row r="482" spans="1:26">
      <c r="A482" s="42" t="s">
        <v>1026</v>
      </c>
      <c r="B482" s="42" t="s">
        <v>1027</v>
      </c>
      <c r="C482" s="42" t="s">
        <v>24</v>
      </c>
      <c r="D482" s="43">
        <v>141</v>
      </c>
      <c r="E482" s="43">
        <v>38477700</v>
      </c>
      <c r="F482" s="43">
        <v>2505</v>
      </c>
      <c r="G482" s="43">
        <v>2304141200</v>
      </c>
      <c r="H482" s="43">
        <v>61</v>
      </c>
      <c r="I482" s="43">
        <v>126364900</v>
      </c>
      <c r="J482" s="43">
        <v>104</v>
      </c>
      <c r="K482" s="43">
        <v>405500</v>
      </c>
      <c r="L482" s="43">
        <v>205</v>
      </c>
      <c r="M482" s="43">
        <v>221221900</v>
      </c>
      <c r="N482" s="43">
        <v>167</v>
      </c>
      <c r="O482" s="43">
        <v>189681400</v>
      </c>
      <c r="P482" s="43">
        <v>26</v>
      </c>
      <c r="Q482" s="43">
        <v>22330100</v>
      </c>
      <c r="R482" s="43">
        <v>12</v>
      </c>
      <c r="S482" s="43">
        <v>9210400</v>
      </c>
      <c r="T482" s="44">
        <f t="shared" si="42"/>
        <v>3016</v>
      </c>
      <c r="U482" s="44">
        <f t="shared" si="42"/>
        <v>2690611200</v>
      </c>
      <c r="V482" s="45">
        <f t="shared" si="43"/>
        <v>0.90332861916281326</v>
      </c>
      <c r="W482" s="44">
        <f t="shared" si="44"/>
        <v>2566</v>
      </c>
      <c r="X482" s="44">
        <f t="shared" si="45"/>
        <v>2439716500</v>
      </c>
      <c r="Y482" s="43">
        <f t="shared" si="46"/>
        <v>947196.453624318</v>
      </c>
      <c r="Z482" s="45">
        <f t="shared" si="47"/>
        <v>3.4231627371505776E-3</v>
      </c>
    </row>
    <row r="483" spans="1:26">
      <c r="A483" s="42" t="s">
        <v>1028</v>
      </c>
      <c r="B483" s="42" t="s">
        <v>1029</v>
      </c>
      <c r="C483" s="42" t="s">
        <v>24</v>
      </c>
      <c r="D483" s="43">
        <v>192</v>
      </c>
      <c r="E483" s="43">
        <v>5338400</v>
      </c>
      <c r="F483" s="43">
        <v>2305</v>
      </c>
      <c r="G483" s="43">
        <v>340622200</v>
      </c>
      <c r="H483" s="43"/>
      <c r="I483" s="43"/>
      <c r="J483" s="43"/>
      <c r="K483" s="43"/>
      <c r="L483" s="43">
        <v>244</v>
      </c>
      <c r="M483" s="43">
        <v>78076200</v>
      </c>
      <c r="N483" s="43">
        <v>218</v>
      </c>
      <c r="O483" s="43">
        <v>58997500</v>
      </c>
      <c r="P483" s="43">
        <v>1</v>
      </c>
      <c r="Q483" s="43">
        <v>763300</v>
      </c>
      <c r="R483" s="43">
        <v>25</v>
      </c>
      <c r="S483" s="43">
        <v>18315400</v>
      </c>
      <c r="T483" s="44">
        <f t="shared" si="42"/>
        <v>2741</v>
      </c>
      <c r="U483" s="44">
        <f t="shared" si="42"/>
        <v>424036800</v>
      </c>
      <c r="V483" s="45">
        <f t="shared" si="43"/>
        <v>0.8032845262486652</v>
      </c>
      <c r="W483" s="44">
        <f t="shared" si="44"/>
        <v>2305</v>
      </c>
      <c r="X483" s="44">
        <f t="shared" si="45"/>
        <v>358937600</v>
      </c>
      <c r="Y483" s="43">
        <f t="shared" si="46"/>
        <v>147775.35791757051</v>
      </c>
      <c r="Z483" s="45">
        <f t="shared" si="47"/>
        <v>4.3192949291193591E-2</v>
      </c>
    </row>
    <row r="484" spans="1:26">
      <c r="A484" s="42" t="s">
        <v>1030</v>
      </c>
      <c r="B484" s="42" t="s">
        <v>1031</v>
      </c>
      <c r="C484" s="42" t="s">
        <v>24</v>
      </c>
      <c r="D484" s="43">
        <v>161</v>
      </c>
      <c r="E484" s="43">
        <v>26221300</v>
      </c>
      <c r="F484" s="43">
        <v>4791</v>
      </c>
      <c r="G484" s="43">
        <v>2217444300</v>
      </c>
      <c r="H484" s="43">
        <v>56</v>
      </c>
      <c r="I484" s="43">
        <v>30574350</v>
      </c>
      <c r="J484" s="43">
        <v>104</v>
      </c>
      <c r="K484" s="43">
        <v>1414900</v>
      </c>
      <c r="L484" s="43">
        <v>337</v>
      </c>
      <c r="M484" s="43">
        <v>824024400</v>
      </c>
      <c r="N484" s="43">
        <v>146</v>
      </c>
      <c r="O484" s="43">
        <v>225302800</v>
      </c>
      <c r="P484" s="43">
        <v>190</v>
      </c>
      <c r="Q484" s="43">
        <v>570870400</v>
      </c>
      <c r="R484" s="43">
        <v>1</v>
      </c>
      <c r="S484" s="43">
        <v>27851200</v>
      </c>
      <c r="T484" s="44">
        <f t="shared" si="42"/>
        <v>5449</v>
      </c>
      <c r="U484" s="44">
        <f t="shared" si="42"/>
        <v>3099679250</v>
      </c>
      <c r="V484" s="45">
        <f t="shared" si="43"/>
        <v>0.72524234563947221</v>
      </c>
      <c r="W484" s="44">
        <f t="shared" si="44"/>
        <v>4847</v>
      </c>
      <c r="X484" s="44">
        <f t="shared" si="45"/>
        <v>2275869850</v>
      </c>
      <c r="Y484" s="43">
        <f t="shared" si="46"/>
        <v>463795.88405199093</v>
      </c>
      <c r="Z484" s="45">
        <f t="shared" si="47"/>
        <v>8.9851877416026182E-3</v>
      </c>
    </row>
    <row r="485" spans="1:26">
      <c r="A485" s="42" t="s">
        <v>1032</v>
      </c>
      <c r="B485" s="42" t="s">
        <v>1033</v>
      </c>
      <c r="C485" s="42" t="s">
        <v>24</v>
      </c>
      <c r="D485" s="43">
        <v>690</v>
      </c>
      <c r="E485" s="43">
        <v>119347100</v>
      </c>
      <c r="F485" s="43">
        <v>14747</v>
      </c>
      <c r="G485" s="43">
        <v>6733962500</v>
      </c>
      <c r="H485" s="43">
        <v>9</v>
      </c>
      <c r="I485" s="43">
        <v>5689900</v>
      </c>
      <c r="J485" s="43">
        <v>33</v>
      </c>
      <c r="K485" s="43">
        <v>121700</v>
      </c>
      <c r="L485" s="43">
        <v>444</v>
      </c>
      <c r="M485" s="43">
        <v>2219321100</v>
      </c>
      <c r="N485" s="43">
        <v>384</v>
      </c>
      <c r="O485" s="43">
        <v>1804513500</v>
      </c>
      <c r="P485" s="43">
        <v>47</v>
      </c>
      <c r="Q485" s="43">
        <v>366284400</v>
      </c>
      <c r="R485" s="43">
        <v>13</v>
      </c>
      <c r="S485" s="43">
        <v>48523200</v>
      </c>
      <c r="T485" s="44">
        <f t="shared" si="42"/>
        <v>15923</v>
      </c>
      <c r="U485" s="44">
        <f t="shared" si="42"/>
        <v>9078442300</v>
      </c>
      <c r="V485" s="45">
        <f t="shared" si="43"/>
        <v>0.74237982434497596</v>
      </c>
      <c r="W485" s="44">
        <f t="shared" si="44"/>
        <v>14756</v>
      </c>
      <c r="X485" s="44">
        <f t="shared" si="45"/>
        <v>6788175600</v>
      </c>
      <c r="Y485" s="43">
        <f t="shared" si="46"/>
        <v>456739.793982109</v>
      </c>
      <c r="Z485" s="45">
        <f t="shared" si="47"/>
        <v>5.3448816874674633E-3</v>
      </c>
    </row>
    <row r="486" spans="1:26">
      <c r="A486" s="42" t="s">
        <v>1034</v>
      </c>
      <c r="B486" s="42" t="s">
        <v>1035</v>
      </c>
      <c r="C486" s="42" t="s">
        <v>24</v>
      </c>
      <c r="D486" s="43">
        <v>19</v>
      </c>
      <c r="E486" s="43">
        <v>9067900</v>
      </c>
      <c r="F486" s="43">
        <v>309</v>
      </c>
      <c r="G486" s="43">
        <v>346625700</v>
      </c>
      <c r="H486" s="43">
        <v>46</v>
      </c>
      <c r="I486" s="43">
        <v>117273600</v>
      </c>
      <c r="J486" s="43">
        <v>57</v>
      </c>
      <c r="K486" s="43">
        <v>397563</v>
      </c>
      <c r="L486" s="43">
        <v>29</v>
      </c>
      <c r="M486" s="43">
        <v>34872500</v>
      </c>
      <c r="N486" s="43">
        <v>28</v>
      </c>
      <c r="O486" s="43">
        <v>34417500</v>
      </c>
      <c r="P486" s="43"/>
      <c r="Q486" s="43"/>
      <c r="R486" s="43">
        <v>1</v>
      </c>
      <c r="S486" s="43">
        <v>455000</v>
      </c>
      <c r="T486" s="44">
        <f t="shared" si="42"/>
        <v>460</v>
      </c>
      <c r="U486" s="44">
        <f t="shared" si="42"/>
        <v>508237263</v>
      </c>
      <c r="V486" s="45">
        <f t="shared" si="43"/>
        <v>0.91276129038968168</v>
      </c>
      <c r="W486" s="44">
        <f t="shared" si="44"/>
        <v>355</v>
      </c>
      <c r="X486" s="44">
        <f t="shared" si="45"/>
        <v>464354300</v>
      </c>
      <c r="Y486" s="43">
        <f t="shared" si="46"/>
        <v>1306758.5915492957</v>
      </c>
      <c r="Z486" s="45">
        <f t="shared" si="47"/>
        <v>8.952511614639323E-4</v>
      </c>
    </row>
    <row r="487" spans="1:26">
      <c r="A487" s="42" t="s">
        <v>1036</v>
      </c>
      <c r="B487" s="42" t="s">
        <v>528</v>
      </c>
      <c r="C487" s="42" t="s">
        <v>24</v>
      </c>
      <c r="D487" s="43">
        <v>1457</v>
      </c>
      <c r="E487" s="43">
        <v>135587850</v>
      </c>
      <c r="F487" s="43">
        <v>18910</v>
      </c>
      <c r="G487" s="43">
        <v>6724718300</v>
      </c>
      <c r="H487" s="43">
        <v>122</v>
      </c>
      <c r="I487" s="43">
        <v>60513300</v>
      </c>
      <c r="J487" s="43">
        <v>232</v>
      </c>
      <c r="K487" s="43">
        <v>2584500</v>
      </c>
      <c r="L487" s="43">
        <v>664</v>
      </c>
      <c r="M487" s="43">
        <v>1923693900</v>
      </c>
      <c r="N487" s="43">
        <v>472</v>
      </c>
      <c r="O487" s="43">
        <v>985424000</v>
      </c>
      <c r="P487" s="43">
        <v>166</v>
      </c>
      <c r="Q487" s="43">
        <v>662629900</v>
      </c>
      <c r="R487" s="43">
        <v>26</v>
      </c>
      <c r="S487" s="43">
        <v>275640000</v>
      </c>
      <c r="T487" s="44">
        <f t="shared" si="42"/>
        <v>21385</v>
      </c>
      <c r="U487" s="44">
        <f t="shared" si="42"/>
        <v>8847097850</v>
      </c>
      <c r="V487" s="45">
        <f t="shared" si="43"/>
        <v>0.76694433757167046</v>
      </c>
      <c r="W487" s="44">
        <f t="shared" si="44"/>
        <v>19032</v>
      </c>
      <c r="X487" s="44">
        <f t="shared" si="45"/>
        <v>7060871600</v>
      </c>
      <c r="Y487" s="43">
        <f t="shared" si="46"/>
        <v>356517.0029424128</v>
      </c>
      <c r="Z487" s="45">
        <f t="shared" si="47"/>
        <v>3.115597958487596E-2</v>
      </c>
    </row>
    <row r="488" spans="1:26">
      <c r="A488" s="42" t="s">
        <v>1037</v>
      </c>
      <c r="B488" s="42" t="s">
        <v>1038</v>
      </c>
      <c r="C488" s="42" t="s">
        <v>24</v>
      </c>
      <c r="D488" s="43">
        <v>162</v>
      </c>
      <c r="E488" s="43">
        <v>23767700</v>
      </c>
      <c r="F488" s="43">
        <v>2351</v>
      </c>
      <c r="G488" s="43">
        <v>1213487100</v>
      </c>
      <c r="H488" s="43"/>
      <c r="I488" s="43"/>
      <c r="J488" s="43">
        <v>1</v>
      </c>
      <c r="K488" s="43">
        <v>1100</v>
      </c>
      <c r="L488" s="43">
        <v>190</v>
      </c>
      <c r="M488" s="43">
        <v>229735100</v>
      </c>
      <c r="N488" s="43">
        <v>173</v>
      </c>
      <c r="O488" s="43">
        <v>209698400</v>
      </c>
      <c r="P488" s="43">
        <v>9</v>
      </c>
      <c r="Q488" s="43">
        <v>13671500</v>
      </c>
      <c r="R488" s="43">
        <v>8</v>
      </c>
      <c r="S488" s="43">
        <v>6365200</v>
      </c>
      <c r="T488" s="44">
        <f t="shared" si="42"/>
        <v>2704</v>
      </c>
      <c r="U488" s="44">
        <f t="shared" si="42"/>
        <v>1466991000</v>
      </c>
      <c r="V488" s="45">
        <f t="shared" si="43"/>
        <v>0.82719464536592247</v>
      </c>
      <c r="W488" s="44">
        <f t="shared" si="44"/>
        <v>2351</v>
      </c>
      <c r="X488" s="44">
        <f t="shared" si="45"/>
        <v>1219852300</v>
      </c>
      <c r="Y488" s="43">
        <f t="shared" si="46"/>
        <v>516157.84772437258</v>
      </c>
      <c r="Z488" s="45">
        <f t="shared" si="47"/>
        <v>4.3389495913744528E-3</v>
      </c>
    </row>
    <row r="489" spans="1:26">
      <c r="A489" s="42" t="s">
        <v>1039</v>
      </c>
      <c r="B489" s="42" t="s">
        <v>1040</v>
      </c>
      <c r="C489" s="42" t="s">
        <v>24</v>
      </c>
      <c r="D489" s="43">
        <v>1153</v>
      </c>
      <c r="E489" s="43">
        <v>65075900</v>
      </c>
      <c r="F489" s="43">
        <v>12227</v>
      </c>
      <c r="G489" s="43">
        <v>3150143900</v>
      </c>
      <c r="H489" s="43">
        <v>173</v>
      </c>
      <c r="I489" s="43">
        <v>58796200</v>
      </c>
      <c r="J489" s="43">
        <v>323</v>
      </c>
      <c r="K489" s="43">
        <v>4445900</v>
      </c>
      <c r="L489" s="43">
        <v>479</v>
      </c>
      <c r="M489" s="43">
        <v>451425500</v>
      </c>
      <c r="N489" s="43">
        <v>332</v>
      </c>
      <c r="O489" s="43">
        <v>274004000</v>
      </c>
      <c r="P489" s="43">
        <v>122</v>
      </c>
      <c r="Q489" s="43">
        <v>131105600</v>
      </c>
      <c r="R489" s="43">
        <v>25</v>
      </c>
      <c r="S489" s="43">
        <v>46315900</v>
      </c>
      <c r="T489" s="44">
        <f t="shared" si="42"/>
        <v>14355</v>
      </c>
      <c r="U489" s="44">
        <f t="shared" si="42"/>
        <v>3729887400</v>
      </c>
      <c r="V489" s="45">
        <f t="shared" si="43"/>
        <v>0.86033162824164611</v>
      </c>
      <c r="W489" s="44">
        <f t="shared" si="44"/>
        <v>12400</v>
      </c>
      <c r="X489" s="44">
        <f t="shared" si="45"/>
        <v>3255256000</v>
      </c>
      <c r="Y489" s="43">
        <f t="shared" si="46"/>
        <v>258785.49193548388</v>
      </c>
      <c r="Z489" s="45">
        <f t="shared" si="47"/>
        <v>1.2417506222842009E-2</v>
      </c>
    </row>
    <row r="490" spans="1:26">
      <c r="A490" s="42" t="s">
        <v>1041</v>
      </c>
      <c r="B490" s="42" t="s">
        <v>1042</v>
      </c>
      <c r="C490" s="42" t="s">
        <v>24</v>
      </c>
      <c r="D490" s="43">
        <v>113</v>
      </c>
      <c r="E490" s="43">
        <v>9078400</v>
      </c>
      <c r="F490" s="43">
        <v>3237</v>
      </c>
      <c r="G490" s="43">
        <v>983736600</v>
      </c>
      <c r="H490" s="43"/>
      <c r="I490" s="43"/>
      <c r="J490" s="43"/>
      <c r="K490" s="43"/>
      <c r="L490" s="43">
        <v>196</v>
      </c>
      <c r="M490" s="43">
        <v>161307500</v>
      </c>
      <c r="N490" s="43">
        <v>145</v>
      </c>
      <c r="O490" s="43">
        <v>110809700</v>
      </c>
      <c r="P490" s="43">
        <v>31</v>
      </c>
      <c r="Q490" s="43">
        <v>37093200</v>
      </c>
      <c r="R490" s="43">
        <v>20</v>
      </c>
      <c r="S490" s="43">
        <v>13404600</v>
      </c>
      <c r="T490" s="44">
        <f t="shared" si="42"/>
        <v>3546</v>
      </c>
      <c r="U490" s="44">
        <f t="shared" si="42"/>
        <v>1154122500</v>
      </c>
      <c r="V490" s="45">
        <f t="shared" si="43"/>
        <v>0.85236757796507734</v>
      </c>
      <c r="W490" s="44">
        <f t="shared" si="44"/>
        <v>3237</v>
      </c>
      <c r="X490" s="44">
        <f t="shared" si="45"/>
        <v>997141200</v>
      </c>
      <c r="Y490" s="43">
        <f t="shared" si="46"/>
        <v>303903.79981464316</v>
      </c>
      <c r="Z490" s="45">
        <f t="shared" si="47"/>
        <v>1.1614538318072822E-2</v>
      </c>
    </row>
    <row r="491" spans="1:26">
      <c r="A491" s="42" t="s">
        <v>1043</v>
      </c>
      <c r="B491" s="42" t="s">
        <v>1044</v>
      </c>
      <c r="C491" s="42" t="s">
        <v>24</v>
      </c>
      <c r="D491" s="43">
        <v>11</v>
      </c>
      <c r="E491" s="43">
        <v>415400</v>
      </c>
      <c r="F491" s="43">
        <v>155</v>
      </c>
      <c r="G491" s="43">
        <v>58114800</v>
      </c>
      <c r="H491" s="43"/>
      <c r="I491" s="43"/>
      <c r="J491" s="43">
        <v>9</v>
      </c>
      <c r="K491" s="43">
        <v>95600</v>
      </c>
      <c r="L491" s="43">
        <v>9</v>
      </c>
      <c r="M491" s="43">
        <v>3745100</v>
      </c>
      <c r="N491" s="43">
        <v>9</v>
      </c>
      <c r="O491" s="43">
        <v>3745100</v>
      </c>
      <c r="P491" s="43"/>
      <c r="Q491" s="43"/>
      <c r="R491" s="43"/>
      <c r="S491" s="43"/>
      <c r="T491" s="44">
        <f t="shared" si="42"/>
        <v>184</v>
      </c>
      <c r="U491" s="44">
        <f t="shared" si="42"/>
        <v>62370900</v>
      </c>
      <c r="V491" s="45">
        <f t="shared" si="43"/>
        <v>0.93176144644377423</v>
      </c>
      <c r="W491" s="44">
        <f t="shared" si="44"/>
        <v>155</v>
      </c>
      <c r="X491" s="44">
        <f t="shared" si="45"/>
        <v>58114800</v>
      </c>
      <c r="Y491" s="43">
        <f t="shared" si="46"/>
        <v>374934.19354838709</v>
      </c>
      <c r="Z491" s="45">
        <f t="shared" si="47"/>
        <v>0</v>
      </c>
    </row>
    <row r="492" spans="1:26">
      <c r="A492" s="42" t="s">
        <v>1045</v>
      </c>
      <c r="B492" s="42" t="s">
        <v>1046</v>
      </c>
      <c r="C492" s="42" t="s">
        <v>24</v>
      </c>
      <c r="D492" s="43">
        <v>450</v>
      </c>
      <c r="E492" s="43">
        <v>46051500</v>
      </c>
      <c r="F492" s="43">
        <v>6340</v>
      </c>
      <c r="G492" s="43">
        <v>3234092100</v>
      </c>
      <c r="H492" s="43">
        <v>108</v>
      </c>
      <c r="I492" s="43">
        <v>63673300</v>
      </c>
      <c r="J492" s="43">
        <v>234</v>
      </c>
      <c r="K492" s="43">
        <v>2096700</v>
      </c>
      <c r="L492" s="43">
        <v>178</v>
      </c>
      <c r="M492" s="43">
        <v>412074600</v>
      </c>
      <c r="N492" s="43">
        <v>164</v>
      </c>
      <c r="O492" s="43">
        <v>306651100</v>
      </c>
      <c r="P492" s="43">
        <v>1</v>
      </c>
      <c r="Q492" s="43">
        <v>3112900</v>
      </c>
      <c r="R492" s="43">
        <v>13</v>
      </c>
      <c r="S492" s="43">
        <v>102310600</v>
      </c>
      <c r="T492" s="44">
        <f t="shared" si="42"/>
        <v>7310</v>
      </c>
      <c r="U492" s="44">
        <f t="shared" si="42"/>
        <v>3757988200</v>
      </c>
      <c r="V492" s="45">
        <f t="shared" si="43"/>
        <v>0.8775347937494854</v>
      </c>
      <c r="W492" s="44">
        <f t="shared" si="44"/>
        <v>6448</v>
      </c>
      <c r="X492" s="44">
        <f t="shared" si="45"/>
        <v>3400076000</v>
      </c>
      <c r="Y492" s="43">
        <f t="shared" si="46"/>
        <v>511440.04342431761</v>
      </c>
      <c r="Z492" s="45">
        <f t="shared" si="47"/>
        <v>2.7224832691065928E-2</v>
      </c>
    </row>
    <row r="493" spans="1:26">
      <c r="A493" s="42" t="s">
        <v>1047</v>
      </c>
      <c r="B493" s="42" t="s">
        <v>1048</v>
      </c>
      <c r="C493" s="42" t="s">
        <v>24</v>
      </c>
      <c r="D493" s="43">
        <v>86</v>
      </c>
      <c r="E493" s="43">
        <v>2770500</v>
      </c>
      <c r="F493" s="43">
        <v>4971</v>
      </c>
      <c r="G493" s="43">
        <v>654339350</v>
      </c>
      <c r="H493" s="43"/>
      <c r="I493" s="43"/>
      <c r="J493" s="43"/>
      <c r="K493" s="43"/>
      <c r="L493" s="43">
        <v>285</v>
      </c>
      <c r="M493" s="43">
        <v>186634325</v>
      </c>
      <c r="N493" s="43">
        <v>244</v>
      </c>
      <c r="O493" s="43">
        <v>116728725</v>
      </c>
      <c r="P493" s="43">
        <v>3</v>
      </c>
      <c r="Q493" s="43">
        <v>1505800</v>
      </c>
      <c r="R493" s="43">
        <v>38</v>
      </c>
      <c r="S493" s="43">
        <v>68399800</v>
      </c>
      <c r="T493" s="44">
        <f t="shared" si="42"/>
        <v>5342</v>
      </c>
      <c r="U493" s="44">
        <f t="shared" si="42"/>
        <v>843744175</v>
      </c>
      <c r="V493" s="45">
        <f t="shared" si="43"/>
        <v>0.77551865765473282</v>
      </c>
      <c r="W493" s="44">
        <f t="shared" si="44"/>
        <v>4971</v>
      </c>
      <c r="X493" s="44">
        <f t="shared" si="45"/>
        <v>722739150</v>
      </c>
      <c r="Y493" s="43">
        <f t="shared" si="46"/>
        <v>131631.3317239992</v>
      </c>
      <c r="Z493" s="45">
        <f t="shared" si="47"/>
        <v>8.1066989292103847E-2</v>
      </c>
    </row>
    <row r="494" spans="1:26">
      <c r="A494" s="42" t="s">
        <v>1049</v>
      </c>
      <c r="B494" s="42" t="s">
        <v>1050</v>
      </c>
      <c r="C494" s="42" t="s">
        <v>24</v>
      </c>
      <c r="D494" s="43">
        <v>38</v>
      </c>
      <c r="E494" s="43">
        <v>14202500</v>
      </c>
      <c r="F494" s="43">
        <v>724</v>
      </c>
      <c r="G494" s="43">
        <v>545422500</v>
      </c>
      <c r="H494" s="43">
        <v>37</v>
      </c>
      <c r="I494" s="43">
        <v>76521900</v>
      </c>
      <c r="J494" s="43">
        <v>102</v>
      </c>
      <c r="K494" s="43">
        <v>495904</v>
      </c>
      <c r="L494" s="43">
        <v>52</v>
      </c>
      <c r="M494" s="43">
        <v>188963000</v>
      </c>
      <c r="N494" s="43">
        <v>41</v>
      </c>
      <c r="O494" s="43">
        <v>174061100</v>
      </c>
      <c r="P494" s="43">
        <v>1</v>
      </c>
      <c r="Q494" s="43">
        <v>8035000</v>
      </c>
      <c r="R494" s="43">
        <v>10</v>
      </c>
      <c r="S494" s="43">
        <v>6866900</v>
      </c>
      <c r="T494" s="44">
        <f t="shared" si="42"/>
        <v>953</v>
      </c>
      <c r="U494" s="44">
        <f t="shared" si="42"/>
        <v>825605804</v>
      </c>
      <c r="V494" s="45">
        <f t="shared" si="43"/>
        <v>0.75331883204638905</v>
      </c>
      <c r="W494" s="44">
        <f t="shared" si="44"/>
        <v>761</v>
      </c>
      <c r="X494" s="44">
        <f t="shared" si="45"/>
        <v>628811300</v>
      </c>
      <c r="Y494" s="43">
        <f t="shared" si="46"/>
        <v>817272.53613666224</v>
      </c>
      <c r="Z494" s="45">
        <f t="shared" si="47"/>
        <v>8.3174076135734149E-3</v>
      </c>
    </row>
    <row r="495" spans="1:26">
      <c r="A495" s="42" t="s">
        <v>1051</v>
      </c>
      <c r="B495" s="42" t="s">
        <v>1052</v>
      </c>
      <c r="C495" s="42" t="s">
        <v>24</v>
      </c>
      <c r="D495" s="43">
        <v>43</v>
      </c>
      <c r="E495" s="43">
        <v>10612600</v>
      </c>
      <c r="F495" s="43">
        <v>1907</v>
      </c>
      <c r="G495" s="43">
        <v>608953934</v>
      </c>
      <c r="H495" s="43"/>
      <c r="I495" s="43"/>
      <c r="J495" s="43"/>
      <c r="K495" s="43"/>
      <c r="L495" s="43">
        <v>193</v>
      </c>
      <c r="M495" s="43">
        <v>531531841</v>
      </c>
      <c r="N495" s="43">
        <v>176</v>
      </c>
      <c r="O495" s="43">
        <v>251226741</v>
      </c>
      <c r="P495" s="43">
        <v>13</v>
      </c>
      <c r="Q495" s="43">
        <v>278406500</v>
      </c>
      <c r="R495" s="43">
        <v>4</v>
      </c>
      <c r="S495" s="43">
        <v>1898600</v>
      </c>
      <c r="T495" s="44">
        <f t="shared" si="42"/>
        <v>2143</v>
      </c>
      <c r="U495" s="44">
        <f t="shared" si="42"/>
        <v>1151098375</v>
      </c>
      <c r="V495" s="45">
        <f t="shared" si="43"/>
        <v>0.52901988850431658</v>
      </c>
      <c r="W495" s="44">
        <f t="shared" si="44"/>
        <v>1907</v>
      </c>
      <c r="X495" s="44">
        <f t="shared" si="45"/>
        <v>610852534</v>
      </c>
      <c r="Y495" s="43">
        <f t="shared" si="46"/>
        <v>319325.60776088096</v>
      </c>
      <c r="Z495" s="45">
        <f t="shared" si="47"/>
        <v>1.6493811834283928E-3</v>
      </c>
    </row>
    <row r="496" spans="1:26">
      <c r="A496" s="42" t="s">
        <v>1053</v>
      </c>
      <c r="B496" s="42" t="s">
        <v>1054</v>
      </c>
      <c r="C496" s="42" t="s">
        <v>24</v>
      </c>
      <c r="D496" s="43">
        <v>9</v>
      </c>
      <c r="E496" s="43">
        <v>272300</v>
      </c>
      <c r="F496" s="43">
        <v>256</v>
      </c>
      <c r="G496" s="43">
        <v>54606200</v>
      </c>
      <c r="H496" s="43"/>
      <c r="I496" s="43"/>
      <c r="J496" s="43">
        <v>3</v>
      </c>
      <c r="K496" s="43">
        <v>20900</v>
      </c>
      <c r="L496" s="43">
        <v>16</v>
      </c>
      <c r="M496" s="43">
        <v>7511900</v>
      </c>
      <c r="N496" s="43">
        <v>13</v>
      </c>
      <c r="O496" s="43">
        <v>3538500</v>
      </c>
      <c r="P496" s="43">
        <v>1</v>
      </c>
      <c r="Q496" s="43">
        <v>3404000</v>
      </c>
      <c r="R496" s="43">
        <v>2</v>
      </c>
      <c r="S496" s="43">
        <v>569400</v>
      </c>
      <c r="T496" s="44">
        <f t="shared" si="42"/>
        <v>284</v>
      </c>
      <c r="U496" s="44">
        <f t="shared" si="42"/>
        <v>62411300</v>
      </c>
      <c r="V496" s="45">
        <f t="shared" si="43"/>
        <v>0.87494091614819747</v>
      </c>
      <c r="W496" s="44">
        <f t="shared" si="44"/>
        <v>256</v>
      </c>
      <c r="X496" s="44">
        <f t="shared" si="45"/>
        <v>55175600</v>
      </c>
      <c r="Y496" s="43">
        <f t="shared" si="46"/>
        <v>213305.46875</v>
      </c>
      <c r="Z496" s="45">
        <f t="shared" si="47"/>
        <v>9.1233478552762079E-3</v>
      </c>
    </row>
    <row r="497" spans="1:26">
      <c r="A497" s="42" t="s">
        <v>1055</v>
      </c>
      <c r="B497" s="42" t="s">
        <v>1056</v>
      </c>
      <c r="C497" s="42" t="s">
        <v>24</v>
      </c>
      <c r="D497" s="43">
        <v>68</v>
      </c>
      <c r="E497" s="43">
        <v>4189400</v>
      </c>
      <c r="F497" s="43">
        <v>2654</v>
      </c>
      <c r="G497" s="43">
        <v>395145400</v>
      </c>
      <c r="H497" s="43"/>
      <c r="I497" s="43"/>
      <c r="J497" s="43"/>
      <c r="K497" s="43"/>
      <c r="L497" s="43">
        <v>457</v>
      </c>
      <c r="M497" s="43">
        <v>253343450</v>
      </c>
      <c r="N497" s="43">
        <v>411</v>
      </c>
      <c r="O497" s="43">
        <v>200311950</v>
      </c>
      <c r="P497" s="43">
        <v>14</v>
      </c>
      <c r="Q497" s="43">
        <v>11187900</v>
      </c>
      <c r="R497" s="43">
        <v>32</v>
      </c>
      <c r="S497" s="43">
        <v>41843600</v>
      </c>
      <c r="T497" s="44">
        <f t="shared" si="42"/>
        <v>3179</v>
      </c>
      <c r="U497" s="44">
        <f t="shared" si="42"/>
        <v>652678250</v>
      </c>
      <c r="V497" s="45">
        <f t="shared" si="43"/>
        <v>0.60542143085049949</v>
      </c>
      <c r="W497" s="44">
        <f t="shared" si="44"/>
        <v>2654</v>
      </c>
      <c r="X497" s="44">
        <f t="shared" si="45"/>
        <v>436989000</v>
      </c>
      <c r="Y497" s="43">
        <f t="shared" si="46"/>
        <v>148886.73700075358</v>
      </c>
      <c r="Z497" s="45">
        <f t="shared" si="47"/>
        <v>6.4110608864321739E-2</v>
      </c>
    </row>
    <row r="498" spans="1:26">
      <c r="A498" s="42" t="s">
        <v>1057</v>
      </c>
      <c r="B498" s="42" t="s">
        <v>1058</v>
      </c>
      <c r="C498" s="42" t="s">
        <v>24</v>
      </c>
      <c r="D498" s="43">
        <v>109</v>
      </c>
      <c r="E498" s="43">
        <v>2598300</v>
      </c>
      <c r="F498" s="43">
        <v>1140</v>
      </c>
      <c r="G498" s="43">
        <v>143115654</v>
      </c>
      <c r="H498" s="43"/>
      <c r="I498" s="43"/>
      <c r="J498" s="43"/>
      <c r="K498" s="43"/>
      <c r="L498" s="43">
        <v>49</v>
      </c>
      <c r="M498" s="43">
        <v>19953382</v>
      </c>
      <c r="N498" s="43">
        <v>39</v>
      </c>
      <c r="O498" s="43">
        <v>11506700</v>
      </c>
      <c r="P498" s="43">
        <v>1</v>
      </c>
      <c r="Q498" s="43">
        <v>201300</v>
      </c>
      <c r="R498" s="43">
        <v>9</v>
      </c>
      <c r="S498" s="43">
        <v>8245382</v>
      </c>
      <c r="T498" s="44">
        <f t="shared" si="42"/>
        <v>1298</v>
      </c>
      <c r="U498" s="44">
        <f t="shared" si="42"/>
        <v>165667336</v>
      </c>
      <c r="V498" s="45">
        <f t="shared" si="43"/>
        <v>0.86387369686441995</v>
      </c>
      <c r="W498" s="44">
        <f t="shared" si="44"/>
        <v>1140</v>
      </c>
      <c r="X498" s="44">
        <f t="shared" si="45"/>
        <v>151361036</v>
      </c>
      <c r="Y498" s="43">
        <f t="shared" si="46"/>
        <v>125540.04736842106</v>
      </c>
      <c r="Z498" s="45">
        <f t="shared" si="47"/>
        <v>4.9770716419318774E-2</v>
      </c>
    </row>
    <row r="499" spans="1:26">
      <c r="A499" s="42" t="s">
        <v>1059</v>
      </c>
      <c r="B499" s="42" t="s">
        <v>1060</v>
      </c>
      <c r="C499" s="42" t="s">
        <v>24</v>
      </c>
      <c r="D499" s="43">
        <v>604</v>
      </c>
      <c r="E499" s="43">
        <v>116300200</v>
      </c>
      <c r="F499" s="43">
        <v>4969</v>
      </c>
      <c r="G499" s="43">
        <v>3549805200</v>
      </c>
      <c r="H499" s="43">
        <v>44</v>
      </c>
      <c r="I499" s="43">
        <v>29847300</v>
      </c>
      <c r="J499" s="43">
        <v>82</v>
      </c>
      <c r="K499" s="43">
        <v>230910</v>
      </c>
      <c r="L499" s="43">
        <v>212</v>
      </c>
      <c r="M499" s="43">
        <v>782737400</v>
      </c>
      <c r="N499" s="43">
        <v>201</v>
      </c>
      <c r="O499" s="43">
        <v>736177000</v>
      </c>
      <c r="P499" s="43">
        <v>11</v>
      </c>
      <c r="Q499" s="43">
        <v>46560400</v>
      </c>
      <c r="R499" s="43"/>
      <c r="S499" s="43"/>
      <c r="T499" s="44">
        <f t="shared" si="42"/>
        <v>5911</v>
      </c>
      <c r="U499" s="44">
        <f t="shared" si="42"/>
        <v>4478921010</v>
      </c>
      <c r="V499" s="45">
        <f t="shared" si="43"/>
        <v>0.79922206531612849</v>
      </c>
      <c r="W499" s="44">
        <f t="shared" si="44"/>
        <v>5013</v>
      </c>
      <c r="X499" s="44">
        <f t="shared" si="45"/>
        <v>3579652500</v>
      </c>
      <c r="Y499" s="43">
        <f t="shared" si="46"/>
        <v>714073.90783961699</v>
      </c>
      <c r="Z499" s="45">
        <f t="shared" si="47"/>
        <v>0</v>
      </c>
    </row>
    <row r="500" spans="1:26">
      <c r="A500" s="42" t="s">
        <v>1061</v>
      </c>
      <c r="B500" s="42" t="s">
        <v>1062</v>
      </c>
      <c r="C500" s="42" t="s">
        <v>24</v>
      </c>
      <c r="D500" s="43">
        <v>199</v>
      </c>
      <c r="E500" s="43">
        <v>41366100</v>
      </c>
      <c r="F500" s="43">
        <v>1918</v>
      </c>
      <c r="G500" s="43">
        <v>1373917500</v>
      </c>
      <c r="H500" s="43"/>
      <c r="I500" s="43"/>
      <c r="J500" s="43"/>
      <c r="K500" s="43"/>
      <c r="L500" s="43">
        <v>94</v>
      </c>
      <c r="M500" s="43">
        <v>401254900</v>
      </c>
      <c r="N500" s="43">
        <v>86</v>
      </c>
      <c r="O500" s="43">
        <v>333359400</v>
      </c>
      <c r="P500" s="43">
        <v>7</v>
      </c>
      <c r="Q500" s="43">
        <v>7295500</v>
      </c>
      <c r="R500" s="43">
        <v>1</v>
      </c>
      <c r="S500" s="43">
        <v>60600000</v>
      </c>
      <c r="T500" s="44">
        <f t="shared" si="42"/>
        <v>2211</v>
      </c>
      <c r="U500" s="44">
        <f t="shared" si="42"/>
        <v>1816538500</v>
      </c>
      <c r="V500" s="45">
        <f t="shared" si="43"/>
        <v>0.75633822239385518</v>
      </c>
      <c r="W500" s="44">
        <f t="shared" si="44"/>
        <v>1918</v>
      </c>
      <c r="X500" s="44">
        <f t="shared" si="45"/>
        <v>1434517500</v>
      </c>
      <c r="Y500" s="43">
        <f t="shared" si="46"/>
        <v>716328.20646506781</v>
      </c>
      <c r="Z500" s="45">
        <f t="shared" si="47"/>
        <v>3.3360151739145631E-2</v>
      </c>
    </row>
    <row r="501" spans="1:26">
      <c r="A501" s="42" t="s">
        <v>1063</v>
      </c>
      <c r="B501" s="42" t="s">
        <v>1064</v>
      </c>
      <c r="C501" s="42" t="s">
        <v>25</v>
      </c>
      <c r="D501" s="43">
        <v>46</v>
      </c>
      <c r="E501" s="43">
        <v>1587500</v>
      </c>
      <c r="F501" s="43">
        <v>191</v>
      </c>
      <c r="G501" s="43">
        <v>29130500</v>
      </c>
      <c r="H501" s="43">
        <v>5</v>
      </c>
      <c r="I501" s="43">
        <v>751700</v>
      </c>
      <c r="J501" s="43">
        <v>11</v>
      </c>
      <c r="K501" s="43">
        <v>113400</v>
      </c>
      <c r="L501" s="43">
        <v>50</v>
      </c>
      <c r="M501" s="43">
        <v>13637200</v>
      </c>
      <c r="N501" s="43">
        <v>47</v>
      </c>
      <c r="O501" s="43">
        <v>12518900</v>
      </c>
      <c r="P501" s="43">
        <v>1</v>
      </c>
      <c r="Q501" s="43">
        <v>150200</v>
      </c>
      <c r="R501" s="43">
        <v>2</v>
      </c>
      <c r="S501" s="43">
        <v>968100</v>
      </c>
      <c r="T501" s="44">
        <f t="shared" si="42"/>
        <v>303</v>
      </c>
      <c r="U501" s="44">
        <f t="shared" si="42"/>
        <v>45220300</v>
      </c>
      <c r="V501" s="45">
        <f t="shared" si="43"/>
        <v>0.66081383803291882</v>
      </c>
      <c r="W501" s="44">
        <f t="shared" si="44"/>
        <v>196</v>
      </c>
      <c r="X501" s="44">
        <f t="shared" si="45"/>
        <v>30850300</v>
      </c>
      <c r="Y501" s="43">
        <f t="shared" si="46"/>
        <v>152460.20408163266</v>
      </c>
      <c r="Z501" s="45">
        <f t="shared" si="47"/>
        <v>2.140852670150353E-2</v>
      </c>
    </row>
    <row r="502" spans="1:26">
      <c r="A502" s="42" t="s">
        <v>1065</v>
      </c>
      <c r="B502" s="42" t="s">
        <v>1066</v>
      </c>
      <c r="C502" s="42" t="s">
        <v>25</v>
      </c>
      <c r="D502" s="43">
        <v>211</v>
      </c>
      <c r="E502" s="43">
        <v>13583100</v>
      </c>
      <c r="F502" s="43">
        <v>2013</v>
      </c>
      <c r="G502" s="43">
        <v>492553999</v>
      </c>
      <c r="H502" s="43">
        <v>53</v>
      </c>
      <c r="I502" s="43">
        <v>20394300</v>
      </c>
      <c r="J502" s="43">
        <v>157</v>
      </c>
      <c r="K502" s="43">
        <v>1218870</v>
      </c>
      <c r="L502" s="43">
        <v>137</v>
      </c>
      <c r="M502" s="43">
        <v>93783700</v>
      </c>
      <c r="N502" s="43">
        <v>124</v>
      </c>
      <c r="O502" s="43">
        <v>85229300</v>
      </c>
      <c r="P502" s="43">
        <v>12</v>
      </c>
      <c r="Q502" s="43">
        <v>6854400</v>
      </c>
      <c r="R502" s="43">
        <v>1</v>
      </c>
      <c r="S502" s="43">
        <v>1700000</v>
      </c>
      <c r="T502" s="44">
        <f t="shared" si="42"/>
        <v>2571</v>
      </c>
      <c r="U502" s="44">
        <f t="shared" si="42"/>
        <v>621533969</v>
      </c>
      <c r="V502" s="45">
        <f t="shared" si="43"/>
        <v>0.82529407012989819</v>
      </c>
      <c r="W502" s="44">
        <f t="shared" si="44"/>
        <v>2066</v>
      </c>
      <c r="X502" s="44">
        <f t="shared" si="45"/>
        <v>514648299</v>
      </c>
      <c r="Y502" s="43">
        <f t="shared" si="46"/>
        <v>248280.88044530494</v>
      </c>
      <c r="Z502" s="45">
        <f t="shared" si="47"/>
        <v>2.7351682849051169E-3</v>
      </c>
    </row>
    <row r="503" spans="1:26">
      <c r="A503" s="42" t="s">
        <v>1067</v>
      </c>
      <c r="B503" s="42" t="s">
        <v>1068</v>
      </c>
      <c r="C503" s="42" t="s">
        <v>25</v>
      </c>
      <c r="D503" s="43">
        <v>45</v>
      </c>
      <c r="E503" s="43">
        <v>2736650</v>
      </c>
      <c r="F503" s="43">
        <v>275</v>
      </c>
      <c r="G503" s="43">
        <v>81104500</v>
      </c>
      <c r="H503" s="43">
        <v>2</v>
      </c>
      <c r="I503" s="43">
        <v>469200</v>
      </c>
      <c r="J503" s="43">
        <v>2</v>
      </c>
      <c r="K503" s="43">
        <v>5500</v>
      </c>
      <c r="L503" s="43">
        <v>61</v>
      </c>
      <c r="M503" s="43">
        <v>69948100</v>
      </c>
      <c r="N503" s="43">
        <v>57</v>
      </c>
      <c r="O503" s="43">
        <v>68381100</v>
      </c>
      <c r="P503" s="43"/>
      <c r="Q503" s="43"/>
      <c r="R503" s="43">
        <v>4</v>
      </c>
      <c r="S503" s="43">
        <v>1567000</v>
      </c>
      <c r="T503" s="44">
        <f t="shared" si="42"/>
        <v>385</v>
      </c>
      <c r="U503" s="44">
        <f t="shared" si="42"/>
        <v>154263950</v>
      </c>
      <c r="V503" s="45">
        <f t="shared" si="43"/>
        <v>0.52879302001536976</v>
      </c>
      <c r="W503" s="44">
        <f t="shared" si="44"/>
        <v>277</v>
      </c>
      <c r="X503" s="44">
        <f t="shared" si="45"/>
        <v>83140700</v>
      </c>
      <c r="Y503" s="43">
        <f t="shared" si="46"/>
        <v>294489.89169675088</v>
      </c>
      <c r="Z503" s="45">
        <f t="shared" si="47"/>
        <v>1.015791440579604E-2</v>
      </c>
    </row>
    <row r="504" spans="1:26">
      <c r="A504" s="42" t="s">
        <v>1069</v>
      </c>
      <c r="B504" s="42" t="s">
        <v>1070</v>
      </c>
      <c r="C504" s="42" t="s">
        <v>25</v>
      </c>
      <c r="D504" s="43">
        <v>560</v>
      </c>
      <c r="E504" s="43">
        <v>12114800</v>
      </c>
      <c r="F504" s="43">
        <v>3172</v>
      </c>
      <c r="G504" s="43">
        <v>464612100</v>
      </c>
      <c r="H504" s="43">
        <v>37</v>
      </c>
      <c r="I504" s="43">
        <v>7462100</v>
      </c>
      <c r="J504" s="43">
        <v>128</v>
      </c>
      <c r="K504" s="43">
        <v>284330</v>
      </c>
      <c r="L504" s="43">
        <v>120</v>
      </c>
      <c r="M504" s="43">
        <v>45370100</v>
      </c>
      <c r="N504" s="43">
        <v>112</v>
      </c>
      <c r="O504" s="43">
        <v>43587500</v>
      </c>
      <c r="P504" s="43">
        <v>5</v>
      </c>
      <c r="Q504" s="43">
        <v>1139000</v>
      </c>
      <c r="R504" s="43">
        <v>3</v>
      </c>
      <c r="S504" s="43">
        <v>643600</v>
      </c>
      <c r="T504" s="44">
        <f t="shared" si="42"/>
        <v>4017</v>
      </c>
      <c r="U504" s="44">
        <f t="shared" si="42"/>
        <v>529843430</v>
      </c>
      <c r="V504" s="45">
        <f t="shared" si="43"/>
        <v>0.890969243498971</v>
      </c>
      <c r="W504" s="44">
        <f t="shared" si="44"/>
        <v>3209</v>
      </c>
      <c r="X504" s="44">
        <f t="shared" si="45"/>
        <v>472717800</v>
      </c>
      <c r="Y504" s="43">
        <f t="shared" si="46"/>
        <v>147109.44219382986</v>
      </c>
      <c r="Z504" s="45">
        <f t="shared" si="47"/>
        <v>1.214698462902522E-3</v>
      </c>
    </row>
    <row r="505" spans="1:26">
      <c r="A505" s="42" t="s">
        <v>1071</v>
      </c>
      <c r="B505" s="42" t="s">
        <v>1072</v>
      </c>
      <c r="C505" s="42" t="s">
        <v>25</v>
      </c>
      <c r="D505" s="43">
        <v>470</v>
      </c>
      <c r="E505" s="43">
        <v>42074100</v>
      </c>
      <c r="F505" s="43">
        <v>2141</v>
      </c>
      <c r="G505" s="43">
        <v>735232100</v>
      </c>
      <c r="H505" s="43">
        <v>232</v>
      </c>
      <c r="I505" s="43">
        <v>95578500</v>
      </c>
      <c r="J505" s="43">
        <v>380</v>
      </c>
      <c r="K505" s="43">
        <v>3324400</v>
      </c>
      <c r="L505" s="43">
        <v>112</v>
      </c>
      <c r="M505" s="43">
        <v>79314600</v>
      </c>
      <c r="N505" s="43">
        <v>100</v>
      </c>
      <c r="O505" s="43">
        <v>71902900</v>
      </c>
      <c r="P505" s="43">
        <v>10</v>
      </c>
      <c r="Q505" s="43">
        <v>6335800</v>
      </c>
      <c r="R505" s="43">
        <v>2</v>
      </c>
      <c r="S505" s="43">
        <v>1075900</v>
      </c>
      <c r="T505" s="44">
        <f t="shared" si="42"/>
        <v>3335</v>
      </c>
      <c r="U505" s="44">
        <f t="shared" si="42"/>
        <v>955523700</v>
      </c>
      <c r="V505" s="45">
        <f t="shared" si="43"/>
        <v>0.86948193958977682</v>
      </c>
      <c r="W505" s="44">
        <f t="shared" si="44"/>
        <v>2373</v>
      </c>
      <c r="X505" s="44">
        <f t="shared" si="45"/>
        <v>831886500</v>
      </c>
      <c r="Y505" s="43">
        <f t="shared" si="46"/>
        <v>350109.81879477453</v>
      </c>
      <c r="Z505" s="45">
        <f t="shared" si="47"/>
        <v>1.12597939747596E-3</v>
      </c>
    </row>
    <row r="506" spans="1:26">
      <c r="A506" s="42" t="s">
        <v>1073</v>
      </c>
      <c r="B506" s="42" t="s">
        <v>1074</v>
      </c>
      <c r="C506" s="42" t="s">
        <v>25</v>
      </c>
      <c r="D506" s="43">
        <v>118</v>
      </c>
      <c r="E506" s="43">
        <v>5669800</v>
      </c>
      <c r="F506" s="43">
        <v>1447</v>
      </c>
      <c r="G506" s="43">
        <v>166086500</v>
      </c>
      <c r="H506" s="43">
        <v>15</v>
      </c>
      <c r="I506" s="43">
        <v>2519000</v>
      </c>
      <c r="J506" s="43">
        <v>20</v>
      </c>
      <c r="K506" s="43">
        <v>155700</v>
      </c>
      <c r="L506" s="43">
        <v>139</v>
      </c>
      <c r="M506" s="43">
        <v>67409000</v>
      </c>
      <c r="N506" s="43">
        <v>118</v>
      </c>
      <c r="O506" s="43">
        <v>57469500</v>
      </c>
      <c r="P506" s="43">
        <v>10</v>
      </c>
      <c r="Q506" s="43">
        <v>6506000</v>
      </c>
      <c r="R506" s="43">
        <v>11</v>
      </c>
      <c r="S506" s="43">
        <v>3433500</v>
      </c>
      <c r="T506" s="44">
        <f t="shared" si="42"/>
        <v>1739</v>
      </c>
      <c r="U506" s="44">
        <f t="shared" si="42"/>
        <v>241840000</v>
      </c>
      <c r="V506" s="45">
        <f t="shared" si="43"/>
        <v>0.69717788620575583</v>
      </c>
      <c r="W506" s="44">
        <f t="shared" si="44"/>
        <v>1462</v>
      </c>
      <c r="X506" s="44">
        <f t="shared" si="45"/>
        <v>172039000</v>
      </c>
      <c r="Y506" s="43">
        <f t="shared" si="46"/>
        <v>115325.23939808481</v>
      </c>
      <c r="Z506" s="45">
        <f t="shared" si="47"/>
        <v>1.4197403241812769E-2</v>
      </c>
    </row>
    <row r="507" spans="1:26">
      <c r="A507" s="42" t="s">
        <v>1075</v>
      </c>
      <c r="B507" s="42" t="s">
        <v>1076</v>
      </c>
      <c r="C507" s="42" t="s">
        <v>25</v>
      </c>
      <c r="D507" s="43">
        <v>82</v>
      </c>
      <c r="E507" s="43">
        <v>9779500</v>
      </c>
      <c r="F507" s="43">
        <v>1077</v>
      </c>
      <c r="G507" s="43">
        <v>458629100</v>
      </c>
      <c r="H507" s="43">
        <v>125</v>
      </c>
      <c r="I507" s="43">
        <v>59564800</v>
      </c>
      <c r="J507" s="43">
        <v>197</v>
      </c>
      <c r="K507" s="43">
        <v>1945400</v>
      </c>
      <c r="L507" s="43">
        <v>42</v>
      </c>
      <c r="M507" s="43">
        <v>29963100</v>
      </c>
      <c r="N507" s="43">
        <v>37</v>
      </c>
      <c r="O507" s="43">
        <v>22934800</v>
      </c>
      <c r="P507" s="43">
        <v>5</v>
      </c>
      <c r="Q507" s="43">
        <v>7028300</v>
      </c>
      <c r="R507" s="43"/>
      <c r="S507" s="43"/>
      <c r="T507" s="44">
        <f t="shared" si="42"/>
        <v>1523</v>
      </c>
      <c r="U507" s="44">
        <f t="shared" si="42"/>
        <v>559881900</v>
      </c>
      <c r="V507" s="45">
        <f t="shared" si="43"/>
        <v>0.92554144007870232</v>
      </c>
      <c r="W507" s="44">
        <f t="shared" si="44"/>
        <v>1202</v>
      </c>
      <c r="X507" s="44">
        <f t="shared" si="45"/>
        <v>518193900</v>
      </c>
      <c r="Y507" s="43">
        <f t="shared" si="46"/>
        <v>431109.73377703829</v>
      </c>
      <c r="Z507" s="45">
        <f t="shared" si="47"/>
        <v>0</v>
      </c>
    </row>
    <row r="508" spans="1:26">
      <c r="A508" s="42" t="s">
        <v>1077</v>
      </c>
      <c r="B508" s="42" t="s">
        <v>1078</v>
      </c>
      <c r="C508" s="42" t="s">
        <v>25</v>
      </c>
      <c r="D508" s="43">
        <v>113</v>
      </c>
      <c r="E508" s="43">
        <v>13574000</v>
      </c>
      <c r="F508" s="43">
        <v>1118</v>
      </c>
      <c r="G508" s="43">
        <v>464033800</v>
      </c>
      <c r="H508" s="43">
        <v>95</v>
      </c>
      <c r="I508" s="43">
        <v>41132600</v>
      </c>
      <c r="J508" s="43">
        <v>191</v>
      </c>
      <c r="K508" s="43">
        <v>1618000</v>
      </c>
      <c r="L508" s="43">
        <v>25</v>
      </c>
      <c r="M508" s="43">
        <v>23489900</v>
      </c>
      <c r="N508" s="43">
        <v>24</v>
      </c>
      <c r="O508" s="43">
        <v>17347900</v>
      </c>
      <c r="P508" s="43">
        <v>1</v>
      </c>
      <c r="Q508" s="43">
        <v>6142000</v>
      </c>
      <c r="R508" s="43"/>
      <c r="S508" s="43"/>
      <c r="T508" s="44">
        <f t="shared" si="42"/>
        <v>1542</v>
      </c>
      <c r="U508" s="44">
        <f t="shared" si="42"/>
        <v>543848300</v>
      </c>
      <c r="V508" s="45">
        <f t="shared" si="43"/>
        <v>0.92887373188442435</v>
      </c>
      <c r="W508" s="44">
        <f t="shared" si="44"/>
        <v>1213</v>
      </c>
      <c r="X508" s="44">
        <f t="shared" si="45"/>
        <v>505166400</v>
      </c>
      <c r="Y508" s="43">
        <f t="shared" si="46"/>
        <v>416460.34624896949</v>
      </c>
      <c r="Z508" s="45">
        <f t="shared" si="47"/>
        <v>0</v>
      </c>
    </row>
    <row r="509" spans="1:26">
      <c r="A509" s="42" t="s">
        <v>1079</v>
      </c>
      <c r="B509" s="42" t="s">
        <v>1080</v>
      </c>
      <c r="C509" s="42" t="s">
        <v>25</v>
      </c>
      <c r="D509" s="43">
        <v>145</v>
      </c>
      <c r="E509" s="43">
        <v>5610450</v>
      </c>
      <c r="F509" s="43">
        <v>1327</v>
      </c>
      <c r="G509" s="43">
        <v>179426800</v>
      </c>
      <c r="H509" s="43">
        <v>1</v>
      </c>
      <c r="I509" s="43">
        <v>169000</v>
      </c>
      <c r="J509" s="43">
        <v>1</v>
      </c>
      <c r="K509" s="43">
        <v>4500</v>
      </c>
      <c r="L509" s="43">
        <v>58</v>
      </c>
      <c r="M509" s="43">
        <v>23221700</v>
      </c>
      <c r="N509" s="43">
        <v>54</v>
      </c>
      <c r="O509" s="43">
        <v>19514500</v>
      </c>
      <c r="P509" s="43">
        <v>3</v>
      </c>
      <c r="Q509" s="43">
        <v>3375700</v>
      </c>
      <c r="R509" s="43">
        <v>1</v>
      </c>
      <c r="S509" s="43">
        <v>331500</v>
      </c>
      <c r="T509" s="44">
        <f t="shared" si="42"/>
        <v>1532</v>
      </c>
      <c r="U509" s="44">
        <f t="shared" si="42"/>
        <v>208432450</v>
      </c>
      <c r="V509" s="45">
        <f t="shared" si="43"/>
        <v>0.86164990144288955</v>
      </c>
      <c r="W509" s="44">
        <f t="shared" si="44"/>
        <v>1328</v>
      </c>
      <c r="X509" s="44">
        <f t="shared" si="45"/>
        <v>179927300</v>
      </c>
      <c r="Y509" s="43">
        <f t="shared" si="46"/>
        <v>135237.80120481929</v>
      </c>
      <c r="Z509" s="45">
        <f t="shared" si="47"/>
        <v>1.5904433306809952E-3</v>
      </c>
    </row>
    <row r="510" spans="1:26">
      <c r="A510" s="42" t="s">
        <v>1081</v>
      </c>
      <c r="B510" s="42" t="s">
        <v>1082</v>
      </c>
      <c r="C510" s="42" t="s">
        <v>25</v>
      </c>
      <c r="D510" s="43">
        <v>464</v>
      </c>
      <c r="E510" s="43">
        <v>8643700</v>
      </c>
      <c r="F510" s="43">
        <v>1890</v>
      </c>
      <c r="G510" s="43">
        <v>281085400</v>
      </c>
      <c r="H510" s="43">
        <v>122</v>
      </c>
      <c r="I510" s="43">
        <v>28620700</v>
      </c>
      <c r="J510" s="43">
        <v>236</v>
      </c>
      <c r="K510" s="43">
        <v>2036775</v>
      </c>
      <c r="L510" s="43">
        <v>69</v>
      </c>
      <c r="M510" s="43">
        <v>67629100</v>
      </c>
      <c r="N510" s="43">
        <v>67</v>
      </c>
      <c r="O510" s="43">
        <v>67294100</v>
      </c>
      <c r="P510" s="43">
        <v>2</v>
      </c>
      <c r="Q510" s="43">
        <v>335000</v>
      </c>
      <c r="R510" s="43"/>
      <c r="S510" s="43"/>
      <c r="T510" s="44">
        <f t="shared" si="42"/>
        <v>2781</v>
      </c>
      <c r="U510" s="44">
        <f t="shared" si="42"/>
        <v>388015675</v>
      </c>
      <c r="V510" s="45">
        <f t="shared" si="43"/>
        <v>0.7981793519037601</v>
      </c>
      <c r="W510" s="44">
        <f t="shared" si="44"/>
        <v>2012</v>
      </c>
      <c r="X510" s="44">
        <f t="shared" si="45"/>
        <v>309706100</v>
      </c>
      <c r="Y510" s="43">
        <f t="shared" si="46"/>
        <v>153929.47316103379</v>
      </c>
      <c r="Z510" s="45">
        <f t="shared" si="47"/>
        <v>0</v>
      </c>
    </row>
    <row r="511" spans="1:26">
      <c r="A511" s="42" t="s">
        <v>1083</v>
      </c>
      <c r="B511" s="42" t="s">
        <v>1084</v>
      </c>
      <c r="C511" s="42" t="s">
        <v>25</v>
      </c>
      <c r="D511" s="43">
        <v>536</v>
      </c>
      <c r="E511" s="43">
        <v>23323200</v>
      </c>
      <c r="F511" s="43">
        <v>3707</v>
      </c>
      <c r="G511" s="43">
        <v>593257700</v>
      </c>
      <c r="H511" s="43">
        <v>48</v>
      </c>
      <c r="I511" s="43">
        <v>9690600</v>
      </c>
      <c r="J511" s="43">
        <v>118</v>
      </c>
      <c r="K511" s="43">
        <v>1111700</v>
      </c>
      <c r="L511" s="43">
        <v>147</v>
      </c>
      <c r="M511" s="43">
        <v>81079300</v>
      </c>
      <c r="N511" s="43">
        <v>121</v>
      </c>
      <c r="O511" s="43">
        <v>57547000</v>
      </c>
      <c r="P511" s="43">
        <v>22</v>
      </c>
      <c r="Q511" s="43">
        <v>13844300</v>
      </c>
      <c r="R511" s="43">
        <v>4</v>
      </c>
      <c r="S511" s="43">
        <v>9688000</v>
      </c>
      <c r="T511" s="44">
        <f t="shared" si="42"/>
        <v>4556</v>
      </c>
      <c r="U511" s="44">
        <f t="shared" si="42"/>
        <v>708462500</v>
      </c>
      <c r="V511" s="45">
        <f t="shared" si="43"/>
        <v>0.85106593503537586</v>
      </c>
      <c r="W511" s="44">
        <f t="shared" si="44"/>
        <v>3755</v>
      </c>
      <c r="X511" s="44">
        <f t="shared" si="45"/>
        <v>612636300</v>
      </c>
      <c r="Y511" s="43">
        <f t="shared" si="46"/>
        <v>160572.11717709721</v>
      </c>
      <c r="Z511" s="45">
        <f t="shared" si="47"/>
        <v>1.3674682851950526E-2</v>
      </c>
    </row>
    <row r="512" spans="1:26">
      <c r="A512" s="42" t="s">
        <v>1085</v>
      </c>
      <c r="B512" s="42" t="s">
        <v>1086</v>
      </c>
      <c r="C512" s="42" t="s">
        <v>25</v>
      </c>
      <c r="D512" s="43">
        <v>984</v>
      </c>
      <c r="E512" s="43">
        <v>44278050</v>
      </c>
      <c r="F512" s="43">
        <v>6074</v>
      </c>
      <c r="G512" s="43">
        <v>1912868400</v>
      </c>
      <c r="H512" s="43">
        <v>6</v>
      </c>
      <c r="I512" s="43">
        <v>2295400</v>
      </c>
      <c r="J512" s="43">
        <v>20</v>
      </c>
      <c r="K512" s="43">
        <v>247600</v>
      </c>
      <c r="L512" s="43">
        <v>81</v>
      </c>
      <c r="M512" s="43">
        <v>96836800</v>
      </c>
      <c r="N512" s="43">
        <v>80</v>
      </c>
      <c r="O512" s="43">
        <v>96350000</v>
      </c>
      <c r="P512" s="43">
        <v>1</v>
      </c>
      <c r="Q512" s="43">
        <v>486800</v>
      </c>
      <c r="R512" s="43"/>
      <c r="S512" s="43"/>
      <c r="T512" s="44">
        <f t="shared" si="42"/>
        <v>7165</v>
      </c>
      <c r="U512" s="44">
        <f t="shared" si="42"/>
        <v>2056526250</v>
      </c>
      <c r="V512" s="45">
        <f t="shared" si="43"/>
        <v>0.93126153872336903</v>
      </c>
      <c r="W512" s="44">
        <f t="shared" si="44"/>
        <v>6080</v>
      </c>
      <c r="X512" s="44">
        <f t="shared" si="45"/>
        <v>1915163800</v>
      </c>
      <c r="Y512" s="43">
        <f t="shared" si="46"/>
        <v>314994.04605263157</v>
      </c>
      <c r="Z512" s="45">
        <f t="shared" si="47"/>
        <v>0</v>
      </c>
    </row>
    <row r="513" spans="1:26">
      <c r="A513" s="42" t="s">
        <v>1087</v>
      </c>
      <c r="B513" s="42" t="s">
        <v>1088</v>
      </c>
      <c r="C513" s="42" t="s">
        <v>25</v>
      </c>
      <c r="D513" s="43">
        <v>87</v>
      </c>
      <c r="E513" s="43">
        <v>11772000</v>
      </c>
      <c r="F513" s="43">
        <v>715</v>
      </c>
      <c r="G513" s="43">
        <v>302383600</v>
      </c>
      <c r="H513" s="43">
        <v>158</v>
      </c>
      <c r="I513" s="43">
        <v>62723200</v>
      </c>
      <c r="J513" s="43">
        <v>341</v>
      </c>
      <c r="K513" s="43">
        <v>2308700</v>
      </c>
      <c r="L513" s="43">
        <v>72</v>
      </c>
      <c r="M513" s="43">
        <v>90154000</v>
      </c>
      <c r="N513" s="43">
        <v>54</v>
      </c>
      <c r="O513" s="43">
        <v>45464100</v>
      </c>
      <c r="P513" s="43">
        <v>18</v>
      </c>
      <c r="Q513" s="43">
        <v>44689900</v>
      </c>
      <c r="R513" s="43"/>
      <c r="S513" s="43"/>
      <c r="T513" s="44">
        <f t="shared" si="42"/>
        <v>1373</v>
      </c>
      <c r="U513" s="44">
        <f t="shared" si="42"/>
        <v>469341500</v>
      </c>
      <c r="V513" s="45">
        <f t="shared" si="43"/>
        <v>0.77791288432836214</v>
      </c>
      <c r="W513" s="44">
        <f t="shared" si="44"/>
        <v>873</v>
      </c>
      <c r="X513" s="44">
        <f t="shared" si="45"/>
        <v>365106800</v>
      </c>
      <c r="Y513" s="43">
        <f t="shared" si="46"/>
        <v>418220.84765177546</v>
      </c>
      <c r="Z513" s="45">
        <f t="shared" si="47"/>
        <v>0</v>
      </c>
    </row>
    <row r="514" spans="1:26">
      <c r="A514" s="42" t="s">
        <v>1089</v>
      </c>
      <c r="B514" s="42" t="s">
        <v>1090</v>
      </c>
      <c r="C514" s="42" t="s">
        <v>25</v>
      </c>
      <c r="D514" s="43">
        <v>906</v>
      </c>
      <c r="E514" s="43">
        <v>14229190</v>
      </c>
      <c r="F514" s="43">
        <v>1671</v>
      </c>
      <c r="G514" s="43">
        <v>176080600</v>
      </c>
      <c r="H514" s="43">
        <v>64</v>
      </c>
      <c r="I514" s="43">
        <v>8697200</v>
      </c>
      <c r="J514" s="43">
        <v>153</v>
      </c>
      <c r="K514" s="43">
        <v>1108910</v>
      </c>
      <c r="L514" s="43">
        <v>68</v>
      </c>
      <c r="M514" s="43">
        <v>24969000</v>
      </c>
      <c r="N514" s="43">
        <v>60</v>
      </c>
      <c r="O514" s="43">
        <v>22412400</v>
      </c>
      <c r="P514" s="43">
        <v>6</v>
      </c>
      <c r="Q514" s="43">
        <v>2136600</v>
      </c>
      <c r="R514" s="43">
        <v>2</v>
      </c>
      <c r="S514" s="43">
        <v>420000</v>
      </c>
      <c r="T514" s="44">
        <f t="shared" ref="T514:U567" si="48">R514+P514+N514+J514+H514+F514+D514</f>
        <v>2862</v>
      </c>
      <c r="U514" s="44">
        <f t="shared" si="48"/>
        <v>225084900</v>
      </c>
      <c r="V514" s="45">
        <f t="shared" ref="V514:V567" si="49">(G514+I514)/U514</f>
        <v>0.82092490433609722</v>
      </c>
      <c r="W514" s="44">
        <f t="shared" ref="W514:W567" si="50">F514+H514</f>
        <v>1735</v>
      </c>
      <c r="X514" s="44">
        <f t="shared" ref="X514:X567" si="51">G514+I514+S514</f>
        <v>185197800</v>
      </c>
      <c r="Y514" s="43">
        <f t="shared" ref="Y514:Y568" si="52">(G514+I514)/(H514+F514)</f>
        <v>106500.17291066282</v>
      </c>
      <c r="Z514" s="45">
        <f t="shared" ref="Z514:Z567" si="53">S514/U514</f>
        <v>1.8659625767876921E-3</v>
      </c>
    </row>
    <row r="515" spans="1:26">
      <c r="A515" s="42" t="s">
        <v>1091</v>
      </c>
      <c r="B515" s="42" t="s">
        <v>1092</v>
      </c>
      <c r="C515" s="42" t="s">
        <v>25</v>
      </c>
      <c r="D515" s="43">
        <v>68</v>
      </c>
      <c r="E515" s="43">
        <v>14008800</v>
      </c>
      <c r="F515" s="43">
        <v>1970</v>
      </c>
      <c r="G515" s="43">
        <v>533542800</v>
      </c>
      <c r="H515" s="43">
        <v>2</v>
      </c>
      <c r="I515" s="43">
        <v>543600</v>
      </c>
      <c r="J515" s="43">
        <v>8</v>
      </c>
      <c r="K515" s="43">
        <v>39800</v>
      </c>
      <c r="L515" s="43">
        <v>294</v>
      </c>
      <c r="M515" s="43">
        <v>275601000</v>
      </c>
      <c r="N515" s="43">
        <v>253</v>
      </c>
      <c r="O515" s="43">
        <v>206779300</v>
      </c>
      <c r="P515" s="43">
        <v>12</v>
      </c>
      <c r="Q515" s="43">
        <v>22616900</v>
      </c>
      <c r="R515" s="43">
        <v>29</v>
      </c>
      <c r="S515" s="43">
        <v>46204800</v>
      </c>
      <c r="T515" s="44">
        <f t="shared" si="48"/>
        <v>2342</v>
      </c>
      <c r="U515" s="44">
        <f t="shared" si="48"/>
        <v>823736000</v>
      </c>
      <c r="V515" s="45">
        <f t="shared" si="49"/>
        <v>0.64837083725853917</v>
      </c>
      <c r="W515" s="44">
        <f t="shared" si="50"/>
        <v>1972</v>
      </c>
      <c r="X515" s="44">
        <f t="shared" si="51"/>
        <v>580291200</v>
      </c>
      <c r="Y515" s="43">
        <f t="shared" si="52"/>
        <v>270834.88843813387</v>
      </c>
      <c r="Z515" s="45">
        <f t="shared" si="53"/>
        <v>5.6091757553390895E-2</v>
      </c>
    </row>
    <row r="516" spans="1:26">
      <c r="A516" s="42" t="s">
        <v>1093</v>
      </c>
      <c r="B516" s="42" t="s">
        <v>1094</v>
      </c>
      <c r="C516" s="42" t="s">
        <v>25</v>
      </c>
      <c r="D516" s="43">
        <v>47</v>
      </c>
      <c r="E516" s="43">
        <v>2992800</v>
      </c>
      <c r="F516" s="43">
        <v>804</v>
      </c>
      <c r="G516" s="43">
        <v>103189750</v>
      </c>
      <c r="H516" s="43">
        <v>3</v>
      </c>
      <c r="I516" s="43">
        <v>624600</v>
      </c>
      <c r="J516" s="43">
        <v>4</v>
      </c>
      <c r="K516" s="43">
        <v>21100</v>
      </c>
      <c r="L516" s="43">
        <v>34</v>
      </c>
      <c r="M516" s="43">
        <v>9422500</v>
      </c>
      <c r="N516" s="43">
        <v>28</v>
      </c>
      <c r="O516" s="43">
        <v>7241600</v>
      </c>
      <c r="P516" s="43">
        <v>3</v>
      </c>
      <c r="Q516" s="43">
        <v>1446200</v>
      </c>
      <c r="R516" s="43">
        <v>3</v>
      </c>
      <c r="S516" s="43">
        <v>734700</v>
      </c>
      <c r="T516" s="44">
        <f t="shared" si="48"/>
        <v>892</v>
      </c>
      <c r="U516" s="44">
        <f t="shared" si="48"/>
        <v>116250750</v>
      </c>
      <c r="V516" s="45">
        <f t="shared" si="49"/>
        <v>0.8930209052414716</v>
      </c>
      <c r="W516" s="44">
        <f t="shared" si="50"/>
        <v>807</v>
      </c>
      <c r="X516" s="44">
        <f t="shared" si="51"/>
        <v>104549050</v>
      </c>
      <c r="Y516" s="43">
        <f t="shared" si="52"/>
        <v>128642.31722428749</v>
      </c>
      <c r="Z516" s="45">
        <f t="shared" si="53"/>
        <v>6.3199592260695095E-3</v>
      </c>
    </row>
    <row r="517" spans="1:26">
      <c r="A517" s="42" t="s">
        <v>1095</v>
      </c>
      <c r="B517" s="42" t="s">
        <v>1096</v>
      </c>
      <c r="C517" s="42" t="s">
        <v>25</v>
      </c>
      <c r="D517" s="43">
        <v>166</v>
      </c>
      <c r="E517" s="43">
        <v>14650800</v>
      </c>
      <c r="F517" s="43">
        <v>809</v>
      </c>
      <c r="G517" s="43">
        <v>202755300</v>
      </c>
      <c r="H517" s="43">
        <v>98</v>
      </c>
      <c r="I517" s="43">
        <v>30782400</v>
      </c>
      <c r="J517" s="43">
        <v>191</v>
      </c>
      <c r="K517" s="43">
        <v>1138400</v>
      </c>
      <c r="L517" s="43">
        <v>58</v>
      </c>
      <c r="M517" s="43">
        <v>22466200</v>
      </c>
      <c r="N517" s="43">
        <v>53</v>
      </c>
      <c r="O517" s="43">
        <v>20093100</v>
      </c>
      <c r="P517" s="43">
        <v>5</v>
      </c>
      <c r="Q517" s="43">
        <v>2373100</v>
      </c>
      <c r="R517" s="43"/>
      <c r="S517" s="43"/>
      <c r="T517" s="44">
        <f t="shared" si="48"/>
        <v>1322</v>
      </c>
      <c r="U517" s="44">
        <f t="shared" si="48"/>
        <v>271793100</v>
      </c>
      <c r="V517" s="45">
        <f t="shared" si="49"/>
        <v>0.85924808245683937</v>
      </c>
      <c r="W517" s="44">
        <f t="shared" si="50"/>
        <v>907</v>
      </c>
      <c r="X517" s="44">
        <f t="shared" si="51"/>
        <v>233537700</v>
      </c>
      <c r="Y517" s="43">
        <f t="shared" si="52"/>
        <v>257483.68246968027</v>
      </c>
      <c r="Z517" s="45">
        <f t="shared" si="53"/>
        <v>0</v>
      </c>
    </row>
    <row r="518" spans="1:26">
      <c r="A518" s="42" t="s">
        <v>1097</v>
      </c>
      <c r="B518" s="42" t="s">
        <v>1098</v>
      </c>
      <c r="C518" s="42" t="s">
        <v>25</v>
      </c>
      <c r="D518" s="43">
        <v>976</v>
      </c>
      <c r="E518" s="43">
        <v>69057500</v>
      </c>
      <c r="F518" s="43">
        <v>6859</v>
      </c>
      <c r="G518" s="43">
        <v>2132373400</v>
      </c>
      <c r="H518" s="43">
        <v>48</v>
      </c>
      <c r="I518" s="43">
        <v>18035600</v>
      </c>
      <c r="J518" s="43">
        <v>171</v>
      </c>
      <c r="K518" s="43">
        <v>929100</v>
      </c>
      <c r="L518" s="43">
        <v>318</v>
      </c>
      <c r="M518" s="43">
        <v>201308600</v>
      </c>
      <c r="N518" s="43">
        <v>270</v>
      </c>
      <c r="O518" s="43">
        <v>162124600</v>
      </c>
      <c r="P518" s="43">
        <v>45</v>
      </c>
      <c r="Q518" s="43">
        <v>34483600</v>
      </c>
      <c r="R518" s="43">
        <v>3</v>
      </c>
      <c r="S518" s="43">
        <v>4700400</v>
      </c>
      <c r="T518" s="44">
        <f t="shared" si="48"/>
        <v>8372</v>
      </c>
      <c r="U518" s="44">
        <f t="shared" si="48"/>
        <v>2421704200</v>
      </c>
      <c r="V518" s="45">
        <f t="shared" si="49"/>
        <v>0.8879734362272651</v>
      </c>
      <c r="W518" s="44">
        <f t="shared" si="50"/>
        <v>6907</v>
      </c>
      <c r="X518" s="44">
        <f t="shared" si="51"/>
        <v>2155109400</v>
      </c>
      <c r="Y518" s="43">
        <f t="shared" si="52"/>
        <v>311337.62849283335</v>
      </c>
      <c r="Z518" s="45">
        <f t="shared" si="53"/>
        <v>1.9409472056909345E-3</v>
      </c>
    </row>
    <row r="519" spans="1:26">
      <c r="A519" s="42" t="s">
        <v>1099</v>
      </c>
      <c r="B519" s="42" t="s">
        <v>1100</v>
      </c>
      <c r="C519" s="42" t="s">
        <v>25</v>
      </c>
      <c r="D519" s="43">
        <v>157</v>
      </c>
      <c r="E519" s="43">
        <v>4543000</v>
      </c>
      <c r="F519" s="43">
        <v>1360</v>
      </c>
      <c r="G519" s="43">
        <v>395609500</v>
      </c>
      <c r="H519" s="43"/>
      <c r="I519" s="43"/>
      <c r="J519" s="43">
        <v>11</v>
      </c>
      <c r="K519" s="43">
        <v>18400</v>
      </c>
      <c r="L519" s="43">
        <v>70</v>
      </c>
      <c r="M519" s="43">
        <v>31379200</v>
      </c>
      <c r="N519" s="43">
        <v>57</v>
      </c>
      <c r="O519" s="43">
        <v>22010700</v>
      </c>
      <c r="P519" s="43">
        <v>4</v>
      </c>
      <c r="Q519" s="43">
        <v>5624300</v>
      </c>
      <c r="R519" s="43">
        <v>9</v>
      </c>
      <c r="S519" s="43">
        <v>3744200</v>
      </c>
      <c r="T519" s="44">
        <f t="shared" si="48"/>
        <v>1598</v>
      </c>
      <c r="U519" s="44">
        <f t="shared" si="48"/>
        <v>431550100</v>
      </c>
      <c r="V519" s="45">
        <f t="shared" si="49"/>
        <v>0.9167174332713629</v>
      </c>
      <c r="W519" s="44">
        <f t="shared" si="50"/>
        <v>1360</v>
      </c>
      <c r="X519" s="44">
        <f t="shared" si="51"/>
        <v>399353700</v>
      </c>
      <c r="Y519" s="43">
        <f t="shared" si="52"/>
        <v>290889.3382352941</v>
      </c>
      <c r="Z519" s="45">
        <f t="shared" si="53"/>
        <v>8.6761652934387E-3</v>
      </c>
    </row>
    <row r="520" spans="1:26">
      <c r="A520" s="42" t="s">
        <v>1101</v>
      </c>
      <c r="B520" s="42" t="s">
        <v>1102</v>
      </c>
      <c r="C520" s="42" t="s">
        <v>25</v>
      </c>
      <c r="D520" s="43">
        <v>349</v>
      </c>
      <c r="E520" s="43">
        <v>5767600</v>
      </c>
      <c r="F520" s="43">
        <v>1675</v>
      </c>
      <c r="G520" s="43">
        <v>205545300</v>
      </c>
      <c r="H520" s="43">
        <v>147</v>
      </c>
      <c r="I520" s="43">
        <v>26606700</v>
      </c>
      <c r="J520" s="43">
        <v>267</v>
      </c>
      <c r="K520" s="43">
        <v>1351100</v>
      </c>
      <c r="L520" s="43">
        <v>47</v>
      </c>
      <c r="M520" s="43">
        <v>9339600</v>
      </c>
      <c r="N520" s="43">
        <v>46</v>
      </c>
      <c r="O520" s="43">
        <v>8930700</v>
      </c>
      <c r="P520" s="43">
        <v>1</v>
      </c>
      <c r="Q520" s="43">
        <v>408900</v>
      </c>
      <c r="R520" s="43"/>
      <c r="S520" s="43"/>
      <c r="T520" s="44">
        <f t="shared" si="48"/>
        <v>2485</v>
      </c>
      <c r="U520" s="44">
        <f t="shared" si="48"/>
        <v>248610300</v>
      </c>
      <c r="V520" s="45">
        <f t="shared" si="49"/>
        <v>0.93379880077374111</v>
      </c>
      <c r="W520" s="44">
        <f t="shared" si="50"/>
        <v>1822</v>
      </c>
      <c r="X520" s="44">
        <f t="shared" si="51"/>
        <v>232152000</v>
      </c>
      <c r="Y520" s="43">
        <f t="shared" si="52"/>
        <v>127416.02634467618</v>
      </c>
      <c r="Z520" s="45">
        <f t="shared" si="53"/>
        <v>0</v>
      </c>
    </row>
    <row r="521" spans="1:26">
      <c r="A521" s="42" t="s">
        <v>1103</v>
      </c>
      <c r="B521" s="42" t="s">
        <v>1104</v>
      </c>
      <c r="C521" s="42" t="s">
        <v>25</v>
      </c>
      <c r="D521" s="43">
        <v>48</v>
      </c>
      <c r="E521" s="43">
        <v>1021300</v>
      </c>
      <c r="F521" s="43">
        <v>460</v>
      </c>
      <c r="G521" s="43">
        <v>53019900</v>
      </c>
      <c r="H521" s="43">
        <v>1</v>
      </c>
      <c r="I521" s="43">
        <v>373900</v>
      </c>
      <c r="J521" s="43">
        <v>4</v>
      </c>
      <c r="K521" s="43">
        <v>21100</v>
      </c>
      <c r="L521" s="43">
        <v>74</v>
      </c>
      <c r="M521" s="43">
        <v>23939100</v>
      </c>
      <c r="N521" s="43">
        <v>67</v>
      </c>
      <c r="O521" s="43">
        <v>16578200</v>
      </c>
      <c r="P521" s="43">
        <v>2</v>
      </c>
      <c r="Q521" s="43">
        <v>464900</v>
      </c>
      <c r="R521" s="43">
        <v>5</v>
      </c>
      <c r="S521" s="43">
        <v>6896000</v>
      </c>
      <c r="T521" s="44">
        <f t="shared" si="48"/>
        <v>587</v>
      </c>
      <c r="U521" s="44">
        <f t="shared" si="48"/>
        <v>78375300</v>
      </c>
      <c r="V521" s="45">
        <f t="shared" si="49"/>
        <v>0.68125799837448786</v>
      </c>
      <c r="W521" s="44">
        <f t="shared" si="50"/>
        <v>461</v>
      </c>
      <c r="X521" s="44">
        <f t="shared" si="51"/>
        <v>60289800</v>
      </c>
      <c r="Y521" s="43">
        <f t="shared" si="52"/>
        <v>115821.69197396963</v>
      </c>
      <c r="Z521" s="45">
        <f t="shared" si="53"/>
        <v>8.7986904037368918E-2</v>
      </c>
    </row>
    <row r="522" spans="1:26">
      <c r="A522" s="42" t="s">
        <v>1105</v>
      </c>
      <c r="B522" s="42" t="s">
        <v>1106</v>
      </c>
      <c r="C522" s="42" t="s">
        <v>25</v>
      </c>
      <c r="D522" s="43">
        <v>2322</v>
      </c>
      <c r="E522" s="43">
        <v>48061526</v>
      </c>
      <c r="F522" s="43">
        <v>10665</v>
      </c>
      <c r="G522" s="43">
        <v>1337443700</v>
      </c>
      <c r="H522" s="43">
        <v>120</v>
      </c>
      <c r="I522" s="43">
        <v>21635100</v>
      </c>
      <c r="J522" s="43">
        <v>200</v>
      </c>
      <c r="K522" s="43">
        <v>1640860</v>
      </c>
      <c r="L522" s="43">
        <v>345</v>
      </c>
      <c r="M522" s="43">
        <v>119173920</v>
      </c>
      <c r="N522" s="43">
        <v>319</v>
      </c>
      <c r="O522" s="43">
        <v>108671820</v>
      </c>
      <c r="P522" s="43">
        <v>22</v>
      </c>
      <c r="Q522" s="43">
        <v>9085600</v>
      </c>
      <c r="R522" s="43">
        <v>4</v>
      </c>
      <c r="S522" s="43">
        <v>1416500</v>
      </c>
      <c r="T522" s="44">
        <f t="shared" si="48"/>
        <v>13652</v>
      </c>
      <c r="U522" s="44">
        <f t="shared" si="48"/>
        <v>1527955106</v>
      </c>
      <c r="V522" s="45">
        <f t="shared" si="49"/>
        <v>0.88947561002489295</v>
      </c>
      <c r="W522" s="44">
        <f t="shared" si="50"/>
        <v>10785</v>
      </c>
      <c r="X522" s="44">
        <f t="shared" si="51"/>
        <v>1360495300</v>
      </c>
      <c r="Y522" s="43">
        <f t="shared" si="52"/>
        <v>126015.65136764024</v>
      </c>
      <c r="Z522" s="45">
        <f t="shared" si="53"/>
        <v>9.2705603354291226E-4</v>
      </c>
    </row>
    <row r="523" spans="1:26">
      <c r="A523" s="42" t="s">
        <v>1107</v>
      </c>
      <c r="B523" s="42" t="s">
        <v>1108</v>
      </c>
      <c r="C523" s="42" t="s">
        <v>25</v>
      </c>
      <c r="D523" s="43">
        <v>7</v>
      </c>
      <c r="E523" s="43">
        <v>85100</v>
      </c>
      <c r="F523" s="43">
        <v>8</v>
      </c>
      <c r="G523" s="43">
        <v>645250</v>
      </c>
      <c r="H523" s="43">
        <v>4</v>
      </c>
      <c r="I523" s="43">
        <v>422000</v>
      </c>
      <c r="J523" s="43">
        <v>9</v>
      </c>
      <c r="K523" s="43">
        <v>101950</v>
      </c>
      <c r="L523" s="43">
        <v>2</v>
      </c>
      <c r="M523" s="43">
        <v>1077400</v>
      </c>
      <c r="N523" s="43">
        <v>2</v>
      </c>
      <c r="O523" s="43">
        <v>1077400</v>
      </c>
      <c r="P523" s="43"/>
      <c r="Q523" s="43"/>
      <c r="R523" s="43"/>
      <c r="S523" s="43"/>
      <c r="T523" s="44">
        <f t="shared" si="48"/>
        <v>30</v>
      </c>
      <c r="U523" s="44">
        <f t="shared" si="48"/>
        <v>2331700</v>
      </c>
      <c r="V523" s="45">
        <f t="shared" si="49"/>
        <v>0.45771325642235278</v>
      </c>
      <c r="W523" s="44">
        <f t="shared" si="50"/>
        <v>12</v>
      </c>
      <c r="X523" s="44">
        <f t="shared" si="51"/>
        <v>1067250</v>
      </c>
      <c r="Y523" s="43">
        <f t="shared" si="52"/>
        <v>88937.5</v>
      </c>
      <c r="Z523" s="45">
        <f t="shared" si="53"/>
        <v>0</v>
      </c>
    </row>
    <row r="524" spans="1:26">
      <c r="A524" s="42" t="s">
        <v>1109</v>
      </c>
      <c r="B524" s="42" t="s">
        <v>1110</v>
      </c>
      <c r="C524" s="42" t="s">
        <v>25</v>
      </c>
      <c r="D524" s="43">
        <v>487</v>
      </c>
      <c r="E524" s="43">
        <v>60436760</v>
      </c>
      <c r="F524" s="43">
        <v>3509</v>
      </c>
      <c r="G524" s="43">
        <v>1110616200</v>
      </c>
      <c r="H524" s="43">
        <v>411</v>
      </c>
      <c r="I524" s="43">
        <v>146707600</v>
      </c>
      <c r="J524" s="43">
        <v>761</v>
      </c>
      <c r="K524" s="43">
        <v>7487196</v>
      </c>
      <c r="L524" s="43">
        <v>153</v>
      </c>
      <c r="M524" s="43">
        <v>120157862</v>
      </c>
      <c r="N524" s="43">
        <v>148</v>
      </c>
      <c r="O524" s="43">
        <v>113178362</v>
      </c>
      <c r="P524" s="43">
        <v>2</v>
      </c>
      <c r="Q524" s="43">
        <v>1157200</v>
      </c>
      <c r="R524" s="43">
        <v>3</v>
      </c>
      <c r="S524" s="43">
        <v>5822300</v>
      </c>
      <c r="T524" s="44">
        <f t="shared" si="48"/>
        <v>5321</v>
      </c>
      <c r="U524" s="44">
        <f t="shared" si="48"/>
        <v>1445405618</v>
      </c>
      <c r="V524" s="45">
        <f t="shared" si="49"/>
        <v>0.86987609868277127</v>
      </c>
      <c r="W524" s="44">
        <f t="shared" si="50"/>
        <v>3920</v>
      </c>
      <c r="X524" s="44">
        <f t="shared" si="51"/>
        <v>1263146100</v>
      </c>
      <c r="Y524" s="43">
        <f t="shared" si="52"/>
        <v>320745.86734693876</v>
      </c>
      <c r="Z524" s="45">
        <f t="shared" si="53"/>
        <v>4.028142638643044E-3</v>
      </c>
    </row>
    <row r="525" spans="1:26">
      <c r="A525" s="42" t="s">
        <v>1111</v>
      </c>
      <c r="B525" s="42" t="s">
        <v>1112</v>
      </c>
      <c r="C525" s="42" t="s">
        <v>26</v>
      </c>
      <c r="D525" s="43">
        <v>136</v>
      </c>
      <c r="E525" s="43">
        <v>30119200</v>
      </c>
      <c r="F525" s="43">
        <v>4383</v>
      </c>
      <c r="G525" s="43">
        <v>1334493700</v>
      </c>
      <c r="H525" s="43"/>
      <c r="I525" s="43"/>
      <c r="J525" s="43">
        <v>1</v>
      </c>
      <c r="K525" s="43">
        <v>420</v>
      </c>
      <c r="L525" s="43">
        <v>149</v>
      </c>
      <c r="M525" s="43">
        <v>471586400</v>
      </c>
      <c r="N525" s="43">
        <v>112</v>
      </c>
      <c r="O525" s="43">
        <v>275994900</v>
      </c>
      <c r="P525" s="43">
        <v>35</v>
      </c>
      <c r="Q525" s="43">
        <v>189657000</v>
      </c>
      <c r="R525" s="43">
        <v>2</v>
      </c>
      <c r="S525" s="43">
        <v>5934500</v>
      </c>
      <c r="T525" s="44">
        <f t="shared" si="48"/>
        <v>4669</v>
      </c>
      <c r="U525" s="44">
        <f t="shared" si="48"/>
        <v>1836199720</v>
      </c>
      <c r="V525" s="45">
        <f t="shared" si="49"/>
        <v>0.72676936253971325</v>
      </c>
      <c r="W525" s="44">
        <f t="shared" si="50"/>
        <v>4383</v>
      </c>
      <c r="X525" s="44">
        <f t="shared" si="51"/>
        <v>1340428200</v>
      </c>
      <c r="Y525" s="43">
        <f t="shared" si="52"/>
        <v>304470.38558065251</v>
      </c>
      <c r="Z525" s="45">
        <f t="shared" si="53"/>
        <v>3.2319469039021531E-3</v>
      </c>
    </row>
    <row r="526" spans="1:26">
      <c r="A526" s="42" t="s">
        <v>1113</v>
      </c>
      <c r="B526" s="42" t="s">
        <v>1114</v>
      </c>
      <c r="C526" s="42" t="s">
        <v>26</v>
      </c>
      <c r="D526" s="43">
        <v>121</v>
      </c>
      <c r="E526" s="43">
        <v>10410600</v>
      </c>
      <c r="F526" s="43">
        <v>4812</v>
      </c>
      <c r="G526" s="43">
        <v>574882600</v>
      </c>
      <c r="H526" s="43"/>
      <c r="I526" s="43"/>
      <c r="J526" s="43"/>
      <c r="K526" s="43"/>
      <c r="L526" s="43">
        <v>228</v>
      </c>
      <c r="M526" s="43">
        <v>140604700</v>
      </c>
      <c r="N526" s="43">
        <v>200</v>
      </c>
      <c r="O526" s="43">
        <v>90705400</v>
      </c>
      <c r="P526" s="43">
        <v>22</v>
      </c>
      <c r="Q526" s="43">
        <v>31597100</v>
      </c>
      <c r="R526" s="43">
        <v>6</v>
      </c>
      <c r="S526" s="43">
        <v>18302200</v>
      </c>
      <c r="T526" s="44">
        <f t="shared" si="48"/>
        <v>5161</v>
      </c>
      <c r="U526" s="44">
        <f t="shared" si="48"/>
        <v>725897900</v>
      </c>
      <c r="V526" s="45">
        <f t="shared" si="49"/>
        <v>0.79196068758430072</v>
      </c>
      <c r="W526" s="44">
        <f t="shared" si="50"/>
        <v>4812</v>
      </c>
      <c r="X526" s="44">
        <f t="shared" si="51"/>
        <v>593184800</v>
      </c>
      <c r="Y526" s="43">
        <f t="shared" si="52"/>
        <v>119468.5369908562</v>
      </c>
      <c r="Z526" s="45">
        <f t="shared" si="53"/>
        <v>2.5213187694853506E-2</v>
      </c>
    </row>
    <row r="527" spans="1:26">
      <c r="A527" s="42" t="s">
        <v>1115</v>
      </c>
      <c r="B527" s="42" t="s">
        <v>1116</v>
      </c>
      <c r="C527" s="42" t="s">
        <v>26</v>
      </c>
      <c r="D527" s="43">
        <v>103</v>
      </c>
      <c r="E527" s="43">
        <v>10286500</v>
      </c>
      <c r="F527" s="43">
        <v>7460</v>
      </c>
      <c r="G527" s="43">
        <v>1349760700</v>
      </c>
      <c r="H527" s="43"/>
      <c r="I527" s="43"/>
      <c r="J527" s="43">
        <v>1</v>
      </c>
      <c r="K527" s="43">
        <v>105200</v>
      </c>
      <c r="L527" s="43">
        <v>337</v>
      </c>
      <c r="M527" s="43">
        <v>289794000</v>
      </c>
      <c r="N527" s="43">
        <v>286</v>
      </c>
      <c r="O527" s="43">
        <v>235664800</v>
      </c>
      <c r="P527" s="43">
        <v>42</v>
      </c>
      <c r="Q527" s="43">
        <v>47977400</v>
      </c>
      <c r="R527" s="43">
        <v>9</v>
      </c>
      <c r="S527" s="43">
        <v>6151800</v>
      </c>
      <c r="T527" s="44">
        <f t="shared" si="48"/>
        <v>7901</v>
      </c>
      <c r="U527" s="44">
        <f t="shared" si="48"/>
        <v>1649946400</v>
      </c>
      <c r="V527" s="45">
        <f t="shared" si="49"/>
        <v>0.81806336254317114</v>
      </c>
      <c r="W527" s="44">
        <f t="shared" si="50"/>
        <v>7460</v>
      </c>
      <c r="X527" s="44">
        <f t="shared" si="51"/>
        <v>1355912500</v>
      </c>
      <c r="Y527" s="43">
        <f t="shared" si="52"/>
        <v>180933.06970509383</v>
      </c>
      <c r="Z527" s="45">
        <f t="shared" si="53"/>
        <v>3.7284847556260008E-3</v>
      </c>
    </row>
    <row r="528" spans="1:26">
      <c r="A528" s="42" t="s">
        <v>1117</v>
      </c>
      <c r="B528" s="42" t="s">
        <v>1118</v>
      </c>
      <c r="C528" s="42" t="s">
        <v>26</v>
      </c>
      <c r="D528" s="43">
        <v>1127</v>
      </c>
      <c r="E528" s="43">
        <v>46523400</v>
      </c>
      <c r="F528" s="43">
        <v>14707</v>
      </c>
      <c r="G528" s="43">
        <v>500936900</v>
      </c>
      <c r="H528" s="43"/>
      <c r="I528" s="43"/>
      <c r="J528" s="43"/>
      <c r="K528" s="43"/>
      <c r="L528" s="43">
        <v>2611</v>
      </c>
      <c r="M528" s="43">
        <v>354823100</v>
      </c>
      <c r="N528" s="43">
        <v>1837</v>
      </c>
      <c r="O528" s="43">
        <v>177735100</v>
      </c>
      <c r="P528" s="43">
        <v>176</v>
      </c>
      <c r="Q528" s="43">
        <v>78542000</v>
      </c>
      <c r="R528" s="43">
        <v>598</v>
      </c>
      <c r="S528" s="43">
        <v>98546000</v>
      </c>
      <c r="T528" s="44">
        <f t="shared" si="48"/>
        <v>18445</v>
      </c>
      <c r="U528" s="44">
        <f t="shared" si="48"/>
        <v>902283400</v>
      </c>
      <c r="V528" s="45">
        <f t="shared" si="49"/>
        <v>0.55518798195777508</v>
      </c>
      <c r="W528" s="44">
        <f t="shared" si="50"/>
        <v>14707</v>
      </c>
      <c r="X528" s="44">
        <f t="shared" si="51"/>
        <v>599482900</v>
      </c>
      <c r="Y528" s="43">
        <f t="shared" si="52"/>
        <v>34061.120554837835</v>
      </c>
      <c r="Z528" s="45">
        <f t="shared" si="53"/>
        <v>0.10921845619680025</v>
      </c>
    </row>
    <row r="529" spans="1:26">
      <c r="A529" s="42" t="s">
        <v>1119</v>
      </c>
      <c r="B529" s="42" t="s">
        <v>1120</v>
      </c>
      <c r="C529" s="42" t="s">
        <v>26</v>
      </c>
      <c r="D529" s="43">
        <v>68</v>
      </c>
      <c r="E529" s="43">
        <v>1930300</v>
      </c>
      <c r="F529" s="43">
        <v>2479</v>
      </c>
      <c r="G529" s="43">
        <v>209549200</v>
      </c>
      <c r="H529" s="43"/>
      <c r="I529" s="43"/>
      <c r="J529" s="43"/>
      <c r="K529" s="43"/>
      <c r="L529" s="43">
        <v>89</v>
      </c>
      <c r="M529" s="43">
        <v>14609000</v>
      </c>
      <c r="N529" s="43">
        <v>71</v>
      </c>
      <c r="O529" s="43">
        <v>12152500</v>
      </c>
      <c r="P529" s="43">
        <v>18</v>
      </c>
      <c r="Q529" s="43">
        <v>2456500</v>
      </c>
      <c r="R529" s="43"/>
      <c r="S529" s="43"/>
      <c r="T529" s="44">
        <f t="shared" si="48"/>
        <v>2636</v>
      </c>
      <c r="U529" s="44">
        <f t="shared" si="48"/>
        <v>226088500</v>
      </c>
      <c r="V529" s="45">
        <f t="shared" si="49"/>
        <v>0.92684590326354499</v>
      </c>
      <c r="W529" s="44">
        <f t="shared" si="50"/>
        <v>2479</v>
      </c>
      <c r="X529" s="44">
        <f t="shared" si="51"/>
        <v>209549200</v>
      </c>
      <c r="Y529" s="43">
        <f t="shared" si="52"/>
        <v>84529.729729729734</v>
      </c>
      <c r="Z529" s="45">
        <f t="shared" si="53"/>
        <v>0</v>
      </c>
    </row>
    <row r="530" spans="1:26">
      <c r="A530" s="42" t="s">
        <v>1121</v>
      </c>
      <c r="B530" s="42" t="s">
        <v>1122</v>
      </c>
      <c r="C530" s="42" t="s">
        <v>26</v>
      </c>
      <c r="D530" s="43">
        <v>62</v>
      </c>
      <c r="E530" s="43">
        <v>1762100</v>
      </c>
      <c r="F530" s="43">
        <v>1288</v>
      </c>
      <c r="G530" s="43">
        <v>131712300</v>
      </c>
      <c r="H530" s="43"/>
      <c r="I530" s="43"/>
      <c r="J530" s="43"/>
      <c r="K530" s="43"/>
      <c r="L530" s="43">
        <v>149</v>
      </c>
      <c r="M530" s="43">
        <v>51256200</v>
      </c>
      <c r="N530" s="43">
        <v>119</v>
      </c>
      <c r="O530" s="43">
        <v>42240600</v>
      </c>
      <c r="P530" s="43">
        <v>22</v>
      </c>
      <c r="Q530" s="43">
        <v>6815600</v>
      </c>
      <c r="R530" s="43">
        <v>8</v>
      </c>
      <c r="S530" s="43">
        <v>2200000</v>
      </c>
      <c r="T530" s="44">
        <f t="shared" si="48"/>
        <v>1499</v>
      </c>
      <c r="U530" s="44">
        <f t="shared" si="48"/>
        <v>184730600</v>
      </c>
      <c r="V530" s="45">
        <f t="shared" si="49"/>
        <v>0.71299665567047366</v>
      </c>
      <c r="W530" s="44">
        <f t="shared" si="50"/>
        <v>1288</v>
      </c>
      <c r="X530" s="44">
        <f t="shared" si="51"/>
        <v>133912300</v>
      </c>
      <c r="Y530" s="43">
        <f t="shared" si="52"/>
        <v>102261.10248447205</v>
      </c>
      <c r="Z530" s="45">
        <f t="shared" si="53"/>
        <v>1.1909234312019774E-2</v>
      </c>
    </row>
    <row r="531" spans="1:26">
      <c r="A531" s="42" t="s">
        <v>1123</v>
      </c>
      <c r="B531" s="42" t="s">
        <v>1124</v>
      </c>
      <c r="C531" s="42" t="s">
        <v>26</v>
      </c>
      <c r="D531" s="43">
        <v>186</v>
      </c>
      <c r="E531" s="43">
        <v>7756600</v>
      </c>
      <c r="F531" s="43">
        <v>5650</v>
      </c>
      <c r="G531" s="43">
        <v>699587544</v>
      </c>
      <c r="H531" s="43"/>
      <c r="I531" s="43"/>
      <c r="J531" s="43"/>
      <c r="K531" s="43"/>
      <c r="L531" s="43">
        <v>455</v>
      </c>
      <c r="M531" s="43">
        <v>207941950</v>
      </c>
      <c r="N531" s="43">
        <v>256</v>
      </c>
      <c r="O531" s="43">
        <v>69550600</v>
      </c>
      <c r="P531" s="43">
        <v>176</v>
      </c>
      <c r="Q531" s="43">
        <v>126967050</v>
      </c>
      <c r="R531" s="43">
        <v>23</v>
      </c>
      <c r="S531" s="43">
        <v>11424300</v>
      </c>
      <c r="T531" s="44">
        <f t="shared" si="48"/>
        <v>6291</v>
      </c>
      <c r="U531" s="44">
        <f t="shared" si="48"/>
        <v>915286094</v>
      </c>
      <c r="V531" s="45">
        <f t="shared" si="49"/>
        <v>0.7643375645997742</v>
      </c>
      <c r="W531" s="44">
        <f t="shared" si="50"/>
        <v>5650</v>
      </c>
      <c r="X531" s="44">
        <f t="shared" si="51"/>
        <v>711011844</v>
      </c>
      <c r="Y531" s="43">
        <f t="shared" si="52"/>
        <v>123820.80424778762</v>
      </c>
      <c r="Z531" s="45">
        <f t="shared" si="53"/>
        <v>1.2481671113425656E-2</v>
      </c>
    </row>
    <row r="532" spans="1:26">
      <c r="A532" s="42" t="s">
        <v>1125</v>
      </c>
      <c r="B532" s="42" t="s">
        <v>1126</v>
      </c>
      <c r="C532" s="42" t="s">
        <v>26</v>
      </c>
      <c r="D532" s="43">
        <v>121</v>
      </c>
      <c r="E532" s="43">
        <v>7644800</v>
      </c>
      <c r="F532" s="43">
        <v>2509</v>
      </c>
      <c r="G532" s="43">
        <v>440025800</v>
      </c>
      <c r="H532" s="43"/>
      <c r="I532" s="43"/>
      <c r="J532" s="43"/>
      <c r="K532" s="43"/>
      <c r="L532" s="43">
        <v>330</v>
      </c>
      <c r="M532" s="43">
        <v>433349900</v>
      </c>
      <c r="N532" s="43">
        <v>176</v>
      </c>
      <c r="O532" s="43">
        <v>83304600</v>
      </c>
      <c r="P532" s="43">
        <v>154</v>
      </c>
      <c r="Q532" s="43">
        <v>350045300</v>
      </c>
      <c r="R532" s="43"/>
      <c r="S532" s="43"/>
      <c r="T532" s="44">
        <f t="shared" si="48"/>
        <v>2960</v>
      </c>
      <c r="U532" s="44">
        <f t="shared" si="48"/>
        <v>881020500</v>
      </c>
      <c r="V532" s="45">
        <f t="shared" si="49"/>
        <v>0.49945012630239594</v>
      </c>
      <c r="W532" s="44">
        <f t="shared" si="50"/>
        <v>2509</v>
      </c>
      <c r="X532" s="44">
        <f t="shared" si="51"/>
        <v>440025800</v>
      </c>
      <c r="Y532" s="43">
        <f t="shared" si="52"/>
        <v>175378.95575926665</v>
      </c>
      <c r="Z532" s="45">
        <f t="shared" si="53"/>
        <v>0</v>
      </c>
    </row>
    <row r="533" spans="1:26">
      <c r="A533" s="42" t="s">
        <v>1127</v>
      </c>
      <c r="B533" s="42" t="s">
        <v>1128</v>
      </c>
      <c r="C533" s="42" t="s">
        <v>26</v>
      </c>
      <c r="D533" s="43">
        <v>454</v>
      </c>
      <c r="E533" s="43">
        <v>38215600</v>
      </c>
      <c r="F533" s="43">
        <v>10020</v>
      </c>
      <c r="G533" s="43">
        <v>1413771900</v>
      </c>
      <c r="H533" s="43"/>
      <c r="I533" s="43"/>
      <c r="J533" s="43"/>
      <c r="K533" s="43"/>
      <c r="L533" s="43">
        <v>1238</v>
      </c>
      <c r="M533" s="43">
        <v>1366616700</v>
      </c>
      <c r="N533" s="43">
        <v>907</v>
      </c>
      <c r="O533" s="43">
        <v>448356300</v>
      </c>
      <c r="P533" s="43">
        <v>239</v>
      </c>
      <c r="Q533" s="43">
        <v>849638100</v>
      </c>
      <c r="R533" s="43">
        <v>92</v>
      </c>
      <c r="S533" s="43">
        <v>68622300</v>
      </c>
      <c r="T533" s="44">
        <f t="shared" si="48"/>
        <v>11712</v>
      </c>
      <c r="U533" s="44">
        <f t="shared" si="48"/>
        <v>2818604200</v>
      </c>
      <c r="V533" s="45">
        <f t="shared" si="49"/>
        <v>0.50158582038584909</v>
      </c>
      <c r="W533" s="44">
        <f t="shared" si="50"/>
        <v>10020</v>
      </c>
      <c r="X533" s="44">
        <f t="shared" si="51"/>
        <v>1482394200</v>
      </c>
      <c r="Y533" s="43">
        <f t="shared" si="52"/>
        <v>141095</v>
      </c>
      <c r="Z533" s="45">
        <f t="shared" si="53"/>
        <v>2.4346199441553376E-2</v>
      </c>
    </row>
    <row r="534" spans="1:26">
      <c r="A534" s="42" t="s">
        <v>1129</v>
      </c>
      <c r="B534" s="42" t="s">
        <v>1130</v>
      </c>
      <c r="C534" s="42" t="s">
        <v>26</v>
      </c>
      <c r="D534" s="43">
        <v>100</v>
      </c>
      <c r="E534" s="43">
        <v>6878300</v>
      </c>
      <c r="F534" s="43">
        <v>2395</v>
      </c>
      <c r="G534" s="43">
        <v>394297500</v>
      </c>
      <c r="H534" s="43"/>
      <c r="I534" s="43"/>
      <c r="J534" s="43"/>
      <c r="K534" s="43"/>
      <c r="L534" s="43">
        <v>156</v>
      </c>
      <c r="M534" s="43">
        <v>87479700</v>
      </c>
      <c r="N534" s="43">
        <v>103</v>
      </c>
      <c r="O534" s="43">
        <v>60710300</v>
      </c>
      <c r="P534" s="43">
        <v>53</v>
      </c>
      <c r="Q534" s="43">
        <v>26769400</v>
      </c>
      <c r="R534" s="43"/>
      <c r="S534" s="43"/>
      <c r="T534" s="44">
        <f t="shared" si="48"/>
        <v>2651</v>
      </c>
      <c r="U534" s="44">
        <f t="shared" si="48"/>
        <v>488655500</v>
      </c>
      <c r="V534" s="45">
        <f t="shared" si="49"/>
        <v>0.80690281803847497</v>
      </c>
      <c r="W534" s="44">
        <f t="shared" si="50"/>
        <v>2395</v>
      </c>
      <c r="X534" s="44">
        <f t="shared" si="51"/>
        <v>394297500</v>
      </c>
      <c r="Y534" s="43">
        <f t="shared" si="52"/>
        <v>164633.61169102296</v>
      </c>
      <c r="Z534" s="45">
        <f t="shared" si="53"/>
        <v>0</v>
      </c>
    </row>
    <row r="535" spans="1:26">
      <c r="A535" s="42" t="s">
        <v>1131</v>
      </c>
      <c r="B535" s="42" t="s">
        <v>1132</v>
      </c>
      <c r="C535" s="42" t="s">
        <v>26</v>
      </c>
      <c r="D535" s="43">
        <v>98</v>
      </c>
      <c r="E535" s="43">
        <v>13388000</v>
      </c>
      <c r="F535" s="43">
        <v>3655</v>
      </c>
      <c r="G535" s="43">
        <v>1036356200</v>
      </c>
      <c r="H535" s="43"/>
      <c r="I535" s="43"/>
      <c r="J535" s="43"/>
      <c r="K535" s="43"/>
      <c r="L535" s="43">
        <v>157</v>
      </c>
      <c r="M535" s="43">
        <v>244328665</v>
      </c>
      <c r="N535" s="43">
        <v>130</v>
      </c>
      <c r="O535" s="43">
        <v>131263985</v>
      </c>
      <c r="P535" s="43">
        <v>12</v>
      </c>
      <c r="Q535" s="43">
        <v>74811180</v>
      </c>
      <c r="R535" s="43">
        <v>15</v>
      </c>
      <c r="S535" s="43">
        <v>38253500</v>
      </c>
      <c r="T535" s="44">
        <f t="shared" si="48"/>
        <v>3910</v>
      </c>
      <c r="U535" s="44">
        <f t="shared" si="48"/>
        <v>1294072865</v>
      </c>
      <c r="V535" s="45">
        <f t="shared" si="49"/>
        <v>0.80084841281329244</v>
      </c>
      <c r="W535" s="44">
        <f t="shared" si="50"/>
        <v>3655</v>
      </c>
      <c r="X535" s="44">
        <f t="shared" si="51"/>
        <v>1074609700</v>
      </c>
      <c r="Y535" s="43">
        <f t="shared" si="52"/>
        <v>283544.78796169633</v>
      </c>
      <c r="Z535" s="45">
        <f t="shared" si="53"/>
        <v>2.956054564980002E-2</v>
      </c>
    </row>
    <row r="536" spans="1:26">
      <c r="A536" s="42" t="s">
        <v>1133</v>
      </c>
      <c r="B536" s="42" t="s">
        <v>1134</v>
      </c>
      <c r="C536" s="42" t="s">
        <v>26</v>
      </c>
      <c r="D536" s="43">
        <v>379</v>
      </c>
      <c r="E536" s="43">
        <v>8043450</v>
      </c>
      <c r="F536" s="43">
        <v>9130</v>
      </c>
      <c r="G536" s="43">
        <v>1032202621</v>
      </c>
      <c r="H536" s="43"/>
      <c r="I536" s="43"/>
      <c r="J536" s="43"/>
      <c r="K536" s="43"/>
      <c r="L536" s="43">
        <v>807</v>
      </c>
      <c r="M536" s="43">
        <v>224615600</v>
      </c>
      <c r="N536" s="43">
        <v>632</v>
      </c>
      <c r="O536" s="43">
        <v>137000400</v>
      </c>
      <c r="P536" s="43">
        <v>62</v>
      </c>
      <c r="Q536" s="43">
        <v>24600300</v>
      </c>
      <c r="R536" s="43">
        <v>113</v>
      </c>
      <c r="S536" s="43">
        <v>63014900</v>
      </c>
      <c r="T536" s="44">
        <f t="shared" si="48"/>
        <v>10316</v>
      </c>
      <c r="U536" s="44">
        <f t="shared" si="48"/>
        <v>1264861671</v>
      </c>
      <c r="V536" s="45">
        <f t="shared" si="49"/>
        <v>0.81605968831669973</v>
      </c>
      <c r="W536" s="44">
        <f t="shared" si="50"/>
        <v>9130</v>
      </c>
      <c r="X536" s="44">
        <f t="shared" si="51"/>
        <v>1095217521</v>
      </c>
      <c r="Y536" s="43">
        <f t="shared" si="52"/>
        <v>113056.14687842278</v>
      </c>
      <c r="Z536" s="45">
        <f t="shared" si="53"/>
        <v>4.9819598019900789E-2</v>
      </c>
    </row>
    <row r="537" spans="1:26">
      <c r="A537" s="42" t="s">
        <v>1135</v>
      </c>
      <c r="B537" s="42" t="s">
        <v>1136</v>
      </c>
      <c r="C537" s="42" t="s">
        <v>26</v>
      </c>
      <c r="D537" s="43">
        <v>497</v>
      </c>
      <c r="E537" s="43">
        <v>12511400</v>
      </c>
      <c r="F537" s="43">
        <v>7099</v>
      </c>
      <c r="G537" s="43">
        <v>958307700</v>
      </c>
      <c r="H537" s="43"/>
      <c r="I537" s="43"/>
      <c r="J537" s="43"/>
      <c r="K537" s="43"/>
      <c r="L537" s="43">
        <v>535</v>
      </c>
      <c r="M537" s="43">
        <v>546878000</v>
      </c>
      <c r="N537" s="43">
        <v>372</v>
      </c>
      <c r="O537" s="43">
        <v>129044100</v>
      </c>
      <c r="P537" s="43">
        <v>89</v>
      </c>
      <c r="Q537" s="43">
        <v>373443800</v>
      </c>
      <c r="R537" s="43">
        <v>74</v>
      </c>
      <c r="S537" s="43">
        <v>44390100</v>
      </c>
      <c r="T537" s="44">
        <f t="shared" si="48"/>
        <v>8131</v>
      </c>
      <c r="U537" s="44">
        <f t="shared" si="48"/>
        <v>1517697100</v>
      </c>
      <c r="V537" s="45">
        <f t="shared" si="49"/>
        <v>0.63142223833728084</v>
      </c>
      <c r="W537" s="44">
        <f t="shared" si="50"/>
        <v>7099</v>
      </c>
      <c r="X537" s="44">
        <f t="shared" si="51"/>
        <v>1002697800</v>
      </c>
      <c r="Y537" s="43">
        <f t="shared" si="52"/>
        <v>134991.92844062543</v>
      </c>
      <c r="Z537" s="45">
        <f t="shared" si="53"/>
        <v>2.9248326296465874E-2</v>
      </c>
    </row>
    <row r="538" spans="1:26">
      <c r="A538" s="42" t="s">
        <v>1137</v>
      </c>
      <c r="B538" s="42" t="s">
        <v>1138</v>
      </c>
      <c r="C538" s="42" t="s">
        <v>26</v>
      </c>
      <c r="D538" s="43">
        <v>57</v>
      </c>
      <c r="E538" s="43">
        <v>2955300</v>
      </c>
      <c r="F538" s="43">
        <v>5178</v>
      </c>
      <c r="G538" s="43">
        <v>616569100</v>
      </c>
      <c r="H538" s="43"/>
      <c r="I538" s="43"/>
      <c r="J538" s="43"/>
      <c r="K538" s="43"/>
      <c r="L538" s="43">
        <v>367</v>
      </c>
      <c r="M538" s="43">
        <v>161256800</v>
      </c>
      <c r="N538" s="43">
        <v>231</v>
      </c>
      <c r="O538" s="43">
        <v>78215100</v>
      </c>
      <c r="P538" s="43">
        <v>87</v>
      </c>
      <c r="Q538" s="43">
        <v>36721300</v>
      </c>
      <c r="R538" s="43">
        <v>49</v>
      </c>
      <c r="S538" s="43">
        <v>46320400</v>
      </c>
      <c r="T538" s="44">
        <f t="shared" si="48"/>
        <v>5602</v>
      </c>
      <c r="U538" s="44">
        <f t="shared" si="48"/>
        <v>780781200</v>
      </c>
      <c r="V538" s="45">
        <f t="shared" si="49"/>
        <v>0.7896823079244224</v>
      </c>
      <c r="W538" s="44">
        <f t="shared" si="50"/>
        <v>5178</v>
      </c>
      <c r="X538" s="44">
        <f t="shared" si="51"/>
        <v>662889500</v>
      </c>
      <c r="Y538" s="43">
        <f t="shared" si="52"/>
        <v>119074.75859405176</v>
      </c>
      <c r="Z538" s="45">
        <f t="shared" si="53"/>
        <v>5.9325711223579665E-2</v>
      </c>
    </row>
    <row r="539" spans="1:26">
      <c r="A539" s="42" t="s">
        <v>1139</v>
      </c>
      <c r="B539" s="42" t="s">
        <v>1140</v>
      </c>
      <c r="C539" s="42" t="s">
        <v>26</v>
      </c>
      <c r="D539" s="43">
        <v>29</v>
      </c>
      <c r="E539" s="43">
        <v>422000</v>
      </c>
      <c r="F539" s="43">
        <v>3314</v>
      </c>
      <c r="G539" s="43">
        <v>234621600</v>
      </c>
      <c r="H539" s="43"/>
      <c r="I539" s="43"/>
      <c r="J539" s="43"/>
      <c r="K539" s="43"/>
      <c r="L539" s="43">
        <v>234</v>
      </c>
      <c r="M539" s="43">
        <v>54988900</v>
      </c>
      <c r="N539" s="43">
        <v>175</v>
      </c>
      <c r="O539" s="43">
        <v>25555900</v>
      </c>
      <c r="P539" s="43">
        <v>24</v>
      </c>
      <c r="Q539" s="43">
        <v>5797800</v>
      </c>
      <c r="R539" s="43">
        <v>35</v>
      </c>
      <c r="S539" s="43">
        <v>23635200</v>
      </c>
      <c r="T539" s="44">
        <f t="shared" si="48"/>
        <v>3577</v>
      </c>
      <c r="U539" s="44">
        <f t="shared" si="48"/>
        <v>290032500</v>
      </c>
      <c r="V539" s="45">
        <f t="shared" si="49"/>
        <v>0.80894934188409917</v>
      </c>
      <c r="W539" s="44">
        <f t="shared" si="50"/>
        <v>3314</v>
      </c>
      <c r="X539" s="44">
        <f t="shared" si="51"/>
        <v>258256800</v>
      </c>
      <c r="Y539" s="43">
        <f t="shared" si="52"/>
        <v>70797.103198551602</v>
      </c>
      <c r="Z539" s="45">
        <f t="shared" si="53"/>
        <v>8.1491556980683194E-2</v>
      </c>
    </row>
    <row r="540" spans="1:26">
      <c r="A540" s="42" t="s">
        <v>1141</v>
      </c>
      <c r="B540" s="42" t="s">
        <v>1142</v>
      </c>
      <c r="C540" s="42" t="s">
        <v>26</v>
      </c>
      <c r="D540" s="43">
        <v>272</v>
      </c>
      <c r="E540" s="43">
        <v>7323800</v>
      </c>
      <c r="F540" s="43">
        <v>7298</v>
      </c>
      <c r="G540" s="43">
        <v>892649700</v>
      </c>
      <c r="H540" s="43">
        <v>4</v>
      </c>
      <c r="I540" s="43">
        <v>1098900</v>
      </c>
      <c r="J540" s="43">
        <v>4</v>
      </c>
      <c r="K540" s="43">
        <v>14500</v>
      </c>
      <c r="L540" s="43">
        <v>275</v>
      </c>
      <c r="M540" s="43">
        <v>93271000</v>
      </c>
      <c r="N540" s="43">
        <v>241</v>
      </c>
      <c r="O540" s="43">
        <v>62877700</v>
      </c>
      <c r="P540" s="43">
        <v>26</v>
      </c>
      <c r="Q540" s="43">
        <v>6537800</v>
      </c>
      <c r="R540" s="43">
        <v>8</v>
      </c>
      <c r="S540" s="43">
        <v>23855500</v>
      </c>
      <c r="T540" s="44">
        <f t="shared" si="48"/>
        <v>7853</v>
      </c>
      <c r="U540" s="44">
        <f t="shared" si="48"/>
        <v>994357900</v>
      </c>
      <c r="V540" s="45">
        <f t="shared" si="49"/>
        <v>0.89881983137057597</v>
      </c>
      <c r="W540" s="44">
        <f t="shared" si="50"/>
        <v>7302</v>
      </c>
      <c r="X540" s="44">
        <f t="shared" si="51"/>
        <v>917604100</v>
      </c>
      <c r="Y540" s="43">
        <f t="shared" si="52"/>
        <v>122397.78142974527</v>
      </c>
      <c r="Z540" s="45">
        <f t="shared" si="53"/>
        <v>2.3990858824574128E-2</v>
      </c>
    </row>
    <row r="541" spans="1:26">
      <c r="A541" s="42" t="s">
        <v>1143</v>
      </c>
      <c r="B541" s="42" t="s">
        <v>330</v>
      </c>
      <c r="C541" s="42" t="s">
        <v>26</v>
      </c>
      <c r="D541" s="43">
        <v>81</v>
      </c>
      <c r="E541" s="43">
        <v>6980600</v>
      </c>
      <c r="F541" s="43">
        <v>4787</v>
      </c>
      <c r="G541" s="43">
        <v>764113000</v>
      </c>
      <c r="H541" s="43"/>
      <c r="I541" s="43"/>
      <c r="J541" s="43">
        <v>2</v>
      </c>
      <c r="K541" s="43">
        <v>33200</v>
      </c>
      <c r="L541" s="43">
        <v>328</v>
      </c>
      <c r="M541" s="43">
        <v>319326000</v>
      </c>
      <c r="N541" s="43">
        <v>244</v>
      </c>
      <c r="O541" s="43">
        <v>213444900</v>
      </c>
      <c r="P541" s="43">
        <v>67</v>
      </c>
      <c r="Q541" s="43">
        <v>50735200</v>
      </c>
      <c r="R541" s="43">
        <v>17</v>
      </c>
      <c r="S541" s="43">
        <v>55145900</v>
      </c>
      <c r="T541" s="44">
        <f t="shared" si="48"/>
        <v>5198</v>
      </c>
      <c r="U541" s="44">
        <f t="shared" si="48"/>
        <v>1090452800</v>
      </c>
      <c r="V541" s="45">
        <f t="shared" si="49"/>
        <v>0.70073000867162705</v>
      </c>
      <c r="W541" s="44">
        <f t="shared" si="50"/>
        <v>4787</v>
      </c>
      <c r="X541" s="44">
        <f t="shared" si="51"/>
        <v>819258900</v>
      </c>
      <c r="Y541" s="43">
        <f t="shared" si="52"/>
        <v>159622.5193231669</v>
      </c>
      <c r="Z541" s="45">
        <f t="shared" si="53"/>
        <v>5.0571560731468616E-2</v>
      </c>
    </row>
    <row r="542" spans="1:26">
      <c r="A542" s="42" t="s">
        <v>1144</v>
      </c>
      <c r="B542" s="42" t="s">
        <v>1145</v>
      </c>
      <c r="C542" s="42" t="s">
        <v>26</v>
      </c>
      <c r="D542" s="43">
        <v>102</v>
      </c>
      <c r="E542" s="43">
        <v>12135200</v>
      </c>
      <c r="F542" s="43">
        <v>6143</v>
      </c>
      <c r="G542" s="43">
        <v>2513876375</v>
      </c>
      <c r="H542" s="43"/>
      <c r="I542" s="43"/>
      <c r="J542" s="43"/>
      <c r="K542" s="43"/>
      <c r="L542" s="43">
        <v>434</v>
      </c>
      <c r="M542" s="43">
        <v>614271900</v>
      </c>
      <c r="N542" s="43">
        <v>380</v>
      </c>
      <c r="O542" s="43">
        <v>312300700</v>
      </c>
      <c r="P542" s="43">
        <v>9</v>
      </c>
      <c r="Q542" s="43">
        <v>238271000</v>
      </c>
      <c r="R542" s="43">
        <v>45</v>
      </c>
      <c r="S542" s="43">
        <v>63700200</v>
      </c>
      <c r="T542" s="44">
        <f t="shared" si="48"/>
        <v>6679</v>
      </c>
      <c r="U542" s="44">
        <f t="shared" si="48"/>
        <v>3140283475</v>
      </c>
      <c r="V542" s="45">
        <f t="shared" si="49"/>
        <v>0.80052530130261568</v>
      </c>
      <c r="W542" s="44">
        <f t="shared" si="50"/>
        <v>6143</v>
      </c>
      <c r="X542" s="44">
        <f t="shared" si="51"/>
        <v>2577576575</v>
      </c>
      <c r="Y542" s="43">
        <f t="shared" si="52"/>
        <v>409226.17206576589</v>
      </c>
      <c r="Z542" s="45">
        <f t="shared" si="53"/>
        <v>2.028485660836718E-2</v>
      </c>
    </row>
    <row r="543" spans="1:26">
      <c r="A543" s="42" t="s">
        <v>1146</v>
      </c>
      <c r="B543" s="42" t="s">
        <v>637</v>
      </c>
      <c r="C543" s="42" t="s">
        <v>26</v>
      </c>
      <c r="D543" s="43">
        <v>183</v>
      </c>
      <c r="E543" s="43">
        <v>7689100</v>
      </c>
      <c r="F543" s="43">
        <v>16121</v>
      </c>
      <c r="G543" s="43">
        <v>741040200</v>
      </c>
      <c r="H543" s="43"/>
      <c r="I543" s="43"/>
      <c r="J543" s="43"/>
      <c r="K543" s="43"/>
      <c r="L543" s="43">
        <v>974</v>
      </c>
      <c r="M543" s="43">
        <v>312072600</v>
      </c>
      <c r="N543" s="43">
        <v>715</v>
      </c>
      <c r="O543" s="43">
        <v>190999300</v>
      </c>
      <c r="P543" s="43">
        <v>210</v>
      </c>
      <c r="Q543" s="43">
        <v>100159600</v>
      </c>
      <c r="R543" s="43">
        <v>49</v>
      </c>
      <c r="S543" s="43">
        <v>20913700</v>
      </c>
      <c r="T543" s="44">
        <f t="shared" si="48"/>
        <v>17278</v>
      </c>
      <c r="U543" s="44">
        <f t="shared" si="48"/>
        <v>1060801900</v>
      </c>
      <c r="V543" s="45">
        <f t="shared" si="49"/>
        <v>0.69856605648990633</v>
      </c>
      <c r="W543" s="44">
        <f t="shared" si="50"/>
        <v>16121</v>
      </c>
      <c r="X543" s="44">
        <f t="shared" si="51"/>
        <v>761953900</v>
      </c>
      <c r="Y543" s="43">
        <f t="shared" si="52"/>
        <v>45967.384157310342</v>
      </c>
      <c r="Z543" s="45">
        <f t="shared" si="53"/>
        <v>1.9714991083632109E-2</v>
      </c>
    </row>
    <row r="544" spans="1:26">
      <c r="A544" s="42" t="s">
        <v>1147</v>
      </c>
      <c r="B544" s="42" t="s">
        <v>1148</v>
      </c>
      <c r="C544" s="42" t="s">
        <v>26</v>
      </c>
      <c r="D544" s="43">
        <v>243</v>
      </c>
      <c r="E544" s="43">
        <v>11548700</v>
      </c>
      <c r="F544" s="43">
        <v>9107</v>
      </c>
      <c r="G544" s="43">
        <v>1670669600</v>
      </c>
      <c r="H544" s="43"/>
      <c r="I544" s="43"/>
      <c r="J544" s="43">
        <v>1</v>
      </c>
      <c r="K544" s="43">
        <v>4200</v>
      </c>
      <c r="L544" s="43">
        <v>441</v>
      </c>
      <c r="M544" s="43">
        <v>199964500</v>
      </c>
      <c r="N544" s="43">
        <v>425</v>
      </c>
      <c r="O544" s="43">
        <v>176297300</v>
      </c>
      <c r="P544" s="43">
        <v>4</v>
      </c>
      <c r="Q544" s="43">
        <v>1988100</v>
      </c>
      <c r="R544" s="43">
        <v>12</v>
      </c>
      <c r="S544" s="43">
        <v>21679100</v>
      </c>
      <c r="T544" s="44">
        <f t="shared" si="48"/>
        <v>9792</v>
      </c>
      <c r="U544" s="44">
        <f t="shared" si="48"/>
        <v>1882187000</v>
      </c>
      <c r="V544" s="45">
        <f t="shared" si="49"/>
        <v>0.88762147438060091</v>
      </c>
      <c r="W544" s="44">
        <f t="shared" si="50"/>
        <v>9107</v>
      </c>
      <c r="X544" s="44">
        <f t="shared" si="51"/>
        <v>1692348700</v>
      </c>
      <c r="Y544" s="43">
        <f t="shared" si="52"/>
        <v>183448.95135609971</v>
      </c>
      <c r="Z544" s="45">
        <f t="shared" si="53"/>
        <v>1.1518037261972376E-2</v>
      </c>
    </row>
    <row r="545" spans="1:26">
      <c r="A545" s="42" t="s">
        <v>1149</v>
      </c>
      <c r="B545" s="42" t="s">
        <v>1150</v>
      </c>
      <c r="C545" s="42" t="s">
        <v>26</v>
      </c>
      <c r="D545" s="43">
        <v>1</v>
      </c>
      <c r="E545" s="43">
        <v>220200</v>
      </c>
      <c r="F545" s="43">
        <v>689</v>
      </c>
      <c r="G545" s="43">
        <v>1072000</v>
      </c>
      <c r="H545" s="43"/>
      <c r="I545" s="43"/>
      <c r="J545" s="43"/>
      <c r="K545" s="43"/>
      <c r="L545" s="43">
        <v>1</v>
      </c>
      <c r="M545" s="43">
        <v>90000</v>
      </c>
      <c r="N545" s="43">
        <v>1</v>
      </c>
      <c r="O545" s="43">
        <v>90000</v>
      </c>
      <c r="P545" s="43"/>
      <c r="Q545" s="43"/>
      <c r="R545" s="43"/>
      <c r="S545" s="43"/>
      <c r="T545" s="44">
        <f t="shared" si="48"/>
        <v>691</v>
      </c>
      <c r="U545" s="44">
        <f t="shared" si="48"/>
        <v>1382200</v>
      </c>
      <c r="V545" s="45">
        <f t="shared" si="49"/>
        <v>0.7755751700188106</v>
      </c>
      <c r="W545" s="44">
        <f t="shared" si="50"/>
        <v>689</v>
      </c>
      <c r="X545" s="44">
        <f t="shared" si="51"/>
        <v>1072000</v>
      </c>
      <c r="Y545" s="43">
        <f t="shared" si="52"/>
        <v>1555.878084179971</v>
      </c>
      <c r="Z545" s="45">
        <f t="shared" si="53"/>
        <v>0</v>
      </c>
    </row>
    <row r="546" spans="1:26">
      <c r="A546" s="42" t="s">
        <v>1151</v>
      </c>
      <c r="B546" s="42" t="s">
        <v>1152</v>
      </c>
      <c r="C546" s="42" t="s">
        <v>27</v>
      </c>
      <c r="D546" s="43">
        <v>191</v>
      </c>
      <c r="E546" s="43">
        <v>10786500</v>
      </c>
      <c r="F546" s="43">
        <v>1953</v>
      </c>
      <c r="G546" s="43">
        <v>492808800</v>
      </c>
      <c r="H546" s="43">
        <v>69</v>
      </c>
      <c r="I546" s="43">
        <v>21074200</v>
      </c>
      <c r="J546" s="43">
        <v>118</v>
      </c>
      <c r="K546" s="43">
        <v>1333101</v>
      </c>
      <c r="L546" s="43">
        <v>20</v>
      </c>
      <c r="M546" s="43">
        <v>18921900</v>
      </c>
      <c r="N546" s="43">
        <v>19</v>
      </c>
      <c r="O546" s="43">
        <v>17944600</v>
      </c>
      <c r="P546" s="43">
        <v>1</v>
      </c>
      <c r="Q546" s="43">
        <v>977300</v>
      </c>
      <c r="R546" s="43"/>
      <c r="S546" s="43"/>
      <c r="T546" s="44">
        <f t="shared" si="48"/>
        <v>2351</v>
      </c>
      <c r="U546" s="44">
        <f t="shared" si="48"/>
        <v>544924501</v>
      </c>
      <c r="V546" s="45">
        <f t="shared" si="49"/>
        <v>0.94303522608538393</v>
      </c>
      <c r="W546" s="44">
        <f t="shared" si="50"/>
        <v>2022</v>
      </c>
      <c r="X546" s="44">
        <f t="shared" si="51"/>
        <v>513883000</v>
      </c>
      <c r="Y546" s="43">
        <f t="shared" si="52"/>
        <v>254145.89515331356</v>
      </c>
      <c r="Z546" s="45">
        <f t="shared" si="53"/>
        <v>0</v>
      </c>
    </row>
    <row r="547" spans="1:26">
      <c r="A547" s="42" t="s">
        <v>1153</v>
      </c>
      <c r="B547" s="42" t="s">
        <v>1154</v>
      </c>
      <c r="C547" s="42" t="s">
        <v>27</v>
      </c>
      <c r="D547" s="43">
        <v>140</v>
      </c>
      <c r="E547" s="43">
        <v>11230200</v>
      </c>
      <c r="F547" s="43">
        <v>803</v>
      </c>
      <c r="G547" s="43">
        <v>145397400</v>
      </c>
      <c r="H547" s="43">
        <v>2</v>
      </c>
      <c r="I547" s="43">
        <v>692200</v>
      </c>
      <c r="J547" s="43">
        <v>11</v>
      </c>
      <c r="K547" s="43">
        <v>218181</v>
      </c>
      <c r="L547" s="43">
        <v>76</v>
      </c>
      <c r="M547" s="43">
        <v>55628100</v>
      </c>
      <c r="N547" s="43">
        <v>52</v>
      </c>
      <c r="O547" s="43">
        <v>28118600</v>
      </c>
      <c r="P547" s="43">
        <v>15</v>
      </c>
      <c r="Q547" s="43">
        <v>20844400</v>
      </c>
      <c r="R547" s="43">
        <v>9</v>
      </c>
      <c r="S547" s="43">
        <v>6665100</v>
      </c>
      <c r="T547" s="44">
        <f t="shared" si="48"/>
        <v>1032</v>
      </c>
      <c r="U547" s="44">
        <f t="shared" si="48"/>
        <v>213166081</v>
      </c>
      <c r="V547" s="45">
        <f t="shared" si="49"/>
        <v>0.6853322973085948</v>
      </c>
      <c r="W547" s="44">
        <f t="shared" si="50"/>
        <v>805</v>
      </c>
      <c r="X547" s="44">
        <f t="shared" si="51"/>
        <v>152754700</v>
      </c>
      <c r="Y547" s="43">
        <f t="shared" si="52"/>
        <v>181477.76397515528</v>
      </c>
      <c r="Z547" s="45">
        <f t="shared" si="53"/>
        <v>3.1267169564373615E-2</v>
      </c>
    </row>
    <row r="548" spans="1:26">
      <c r="A548" s="42" t="s">
        <v>1155</v>
      </c>
      <c r="B548" s="42" t="s">
        <v>1156</v>
      </c>
      <c r="C548" s="42" t="s">
        <v>27</v>
      </c>
      <c r="D548" s="43">
        <v>78</v>
      </c>
      <c r="E548" s="43">
        <v>2704900</v>
      </c>
      <c r="F548" s="43">
        <v>832</v>
      </c>
      <c r="G548" s="43">
        <v>100419700</v>
      </c>
      <c r="H548" s="43">
        <v>3</v>
      </c>
      <c r="I548" s="43">
        <v>557300</v>
      </c>
      <c r="J548" s="43">
        <v>8</v>
      </c>
      <c r="K548" s="43">
        <v>38500</v>
      </c>
      <c r="L548" s="43">
        <v>109</v>
      </c>
      <c r="M548" s="43">
        <v>38693100</v>
      </c>
      <c r="N548" s="43">
        <v>89</v>
      </c>
      <c r="O548" s="43">
        <v>14842200</v>
      </c>
      <c r="P548" s="43">
        <v>12</v>
      </c>
      <c r="Q548" s="43">
        <v>21362200</v>
      </c>
      <c r="R548" s="43">
        <v>8</v>
      </c>
      <c r="S548" s="43">
        <v>2488700</v>
      </c>
      <c r="T548" s="44">
        <f t="shared" si="48"/>
        <v>1030</v>
      </c>
      <c r="U548" s="44">
        <f t="shared" si="48"/>
        <v>142413500</v>
      </c>
      <c r="V548" s="45">
        <f t="shared" si="49"/>
        <v>0.70904092659754869</v>
      </c>
      <c r="W548" s="44">
        <f t="shared" si="50"/>
        <v>835</v>
      </c>
      <c r="X548" s="44">
        <f t="shared" si="51"/>
        <v>103465700</v>
      </c>
      <c r="Y548" s="43">
        <f t="shared" si="52"/>
        <v>120930.53892215568</v>
      </c>
      <c r="Z548" s="45">
        <f t="shared" si="53"/>
        <v>1.7475169137757304E-2</v>
      </c>
    </row>
    <row r="549" spans="1:26">
      <c r="A549" s="42" t="s">
        <v>1157</v>
      </c>
      <c r="B549" s="42" t="s">
        <v>1158</v>
      </c>
      <c r="C549" s="42" t="s">
        <v>27</v>
      </c>
      <c r="D549" s="43">
        <v>203</v>
      </c>
      <c r="E549" s="43">
        <v>25805300</v>
      </c>
      <c r="F549" s="43">
        <v>1856</v>
      </c>
      <c r="G549" s="43">
        <v>694003300</v>
      </c>
      <c r="H549" s="43">
        <v>214</v>
      </c>
      <c r="I549" s="43">
        <v>93679000</v>
      </c>
      <c r="J549" s="43">
        <v>368</v>
      </c>
      <c r="K549" s="43">
        <v>2071225</v>
      </c>
      <c r="L549" s="43">
        <v>134</v>
      </c>
      <c r="M549" s="43">
        <v>95652700</v>
      </c>
      <c r="N549" s="43">
        <v>125</v>
      </c>
      <c r="O549" s="43">
        <v>79884700</v>
      </c>
      <c r="P549" s="43">
        <v>9</v>
      </c>
      <c r="Q549" s="43">
        <v>15768000</v>
      </c>
      <c r="R549" s="43"/>
      <c r="S549" s="43"/>
      <c r="T549" s="44">
        <f t="shared" si="48"/>
        <v>2775</v>
      </c>
      <c r="U549" s="44">
        <f t="shared" si="48"/>
        <v>911211525</v>
      </c>
      <c r="V549" s="45">
        <f t="shared" si="49"/>
        <v>0.86443408406187572</v>
      </c>
      <c r="W549" s="44">
        <f t="shared" si="50"/>
        <v>2070</v>
      </c>
      <c r="X549" s="44">
        <f t="shared" si="51"/>
        <v>787682300</v>
      </c>
      <c r="Y549" s="43">
        <f t="shared" si="52"/>
        <v>380522.85024154588</v>
      </c>
      <c r="Z549" s="45">
        <f t="shared" si="53"/>
        <v>0</v>
      </c>
    </row>
    <row r="550" spans="1:26">
      <c r="A550" s="42" t="s">
        <v>1159</v>
      </c>
      <c r="B550" s="42" t="s">
        <v>528</v>
      </c>
      <c r="C550" s="42" t="s">
        <v>27</v>
      </c>
      <c r="D550" s="43">
        <v>117</v>
      </c>
      <c r="E550" s="43">
        <v>6012600</v>
      </c>
      <c r="F550" s="43">
        <v>955</v>
      </c>
      <c r="G550" s="43">
        <v>292976100</v>
      </c>
      <c r="H550" s="43">
        <v>146</v>
      </c>
      <c r="I550" s="43">
        <v>48390200</v>
      </c>
      <c r="J550" s="43">
        <v>385</v>
      </c>
      <c r="K550" s="43">
        <v>5110225</v>
      </c>
      <c r="L550" s="43">
        <v>62</v>
      </c>
      <c r="M550" s="43">
        <v>64566600</v>
      </c>
      <c r="N550" s="43">
        <v>46</v>
      </c>
      <c r="O550" s="43">
        <v>32985700</v>
      </c>
      <c r="P550" s="43">
        <v>15</v>
      </c>
      <c r="Q550" s="43">
        <v>31274600</v>
      </c>
      <c r="R550" s="43">
        <v>1</v>
      </c>
      <c r="S550" s="43">
        <v>306300</v>
      </c>
      <c r="T550" s="44">
        <f t="shared" si="48"/>
        <v>1665</v>
      </c>
      <c r="U550" s="44">
        <f t="shared" si="48"/>
        <v>417055725</v>
      </c>
      <c r="V550" s="45">
        <f t="shared" si="49"/>
        <v>0.81851483995334195</v>
      </c>
      <c r="W550" s="44">
        <f t="shared" si="50"/>
        <v>1101</v>
      </c>
      <c r="X550" s="44">
        <f t="shared" si="51"/>
        <v>341672600</v>
      </c>
      <c r="Y550" s="43">
        <f t="shared" si="52"/>
        <v>310051.13533151679</v>
      </c>
      <c r="Z550" s="45">
        <f t="shared" si="53"/>
        <v>7.3443422938265627E-4</v>
      </c>
    </row>
    <row r="551" spans="1:26">
      <c r="A551" s="42" t="s">
        <v>1160</v>
      </c>
      <c r="B551" s="42" t="s">
        <v>1161</v>
      </c>
      <c r="C551" s="42" t="s">
        <v>27</v>
      </c>
      <c r="D551" s="43">
        <v>109</v>
      </c>
      <c r="E551" s="43">
        <v>7496700</v>
      </c>
      <c r="F551" s="43">
        <v>604</v>
      </c>
      <c r="G551" s="43">
        <v>189917700</v>
      </c>
      <c r="H551" s="43">
        <v>193</v>
      </c>
      <c r="I551" s="43">
        <v>68833300</v>
      </c>
      <c r="J551" s="43">
        <v>408</v>
      </c>
      <c r="K551" s="43">
        <v>2375900</v>
      </c>
      <c r="L551" s="43">
        <v>25</v>
      </c>
      <c r="M551" s="43">
        <v>8212778</v>
      </c>
      <c r="N551" s="43">
        <v>25</v>
      </c>
      <c r="O551" s="43">
        <v>8212778</v>
      </c>
      <c r="P551" s="43"/>
      <c r="Q551" s="43"/>
      <c r="R551" s="43"/>
      <c r="S551" s="43"/>
      <c r="T551" s="44">
        <f t="shared" si="48"/>
        <v>1339</v>
      </c>
      <c r="U551" s="44">
        <f t="shared" si="48"/>
        <v>276836378</v>
      </c>
      <c r="V551" s="45">
        <f t="shared" si="49"/>
        <v>0.93467123746287417</v>
      </c>
      <c r="W551" s="44">
        <f t="shared" si="50"/>
        <v>797</v>
      </c>
      <c r="X551" s="44">
        <f t="shared" si="51"/>
        <v>258751000</v>
      </c>
      <c r="Y551" s="43">
        <f t="shared" si="52"/>
        <v>324656.21079046425</v>
      </c>
      <c r="Z551" s="45">
        <f t="shared" si="53"/>
        <v>0</v>
      </c>
    </row>
    <row r="552" spans="1:26">
      <c r="A552" s="42" t="s">
        <v>1162</v>
      </c>
      <c r="B552" s="42" t="s">
        <v>459</v>
      </c>
      <c r="C552" s="42" t="s">
        <v>27</v>
      </c>
      <c r="D552" s="43">
        <v>70</v>
      </c>
      <c r="E552" s="43">
        <v>2631200</v>
      </c>
      <c r="F552" s="43">
        <v>1758</v>
      </c>
      <c r="G552" s="43">
        <v>473284390</v>
      </c>
      <c r="H552" s="43">
        <v>49</v>
      </c>
      <c r="I552" s="43">
        <v>11673600</v>
      </c>
      <c r="J552" s="43">
        <v>107</v>
      </c>
      <c r="K552" s="43">
        <v>2186100</v>
      </c>
      <c r="L552" s="43">
        <v>57</v>
      </c>
      <c r="M552" s="43">
        <v>101576400</v>
      </c>
      <c r="N552" s="43">
        <v>52</v>
      </c>
      <c r="O552" s="43">
        <v>86629100</v>
      </c>
      <c r="P552" s="43">
        <v>5</v>
      </c>
      <c r="Q552" s="43">
        <v>14947300</v>
      </c>
      <c r="R552" s="43"/>
      <c r="S552" s="43"/>
      <c r="T552" s="44">
        <f t="shared" si="48"/>
        <v>2041</v>
      </c>
      <c r="U552" s="44">
        <f t="shared" si="48"/>
        <v>591351690</v>
      </c>
      <c r="V552" s="45">
        <f t="shared" si="49"/>
        <v>0.82008388273989719</v>
      </c>
      <c r="W552" s="44">
        <f t="shared" si="50"/>
        <v>1807</v>
      </c>
      <c r="X552" s="44">
        <f t="shared" si="51"/>
        <v>484957990</v>
      </c>
      <c r="Y552" s="43">
        <f t="shared" si="52"/>
        <v>268377.41560597677</v>
      </c>
      <c r="Z552" s="45">
        <f t="shared" si="53"/>
        <v>0</v>
      </c>
    </row>
    <row r="553" spans="1:26">
      <c r="A553" s="42" t="s">
        <v>1163</v>
      </c>
      <c r="B553" s="42" t="s">
        <v>1164</v>
      </c>
      <c r="C553" s="42" t="s">
        <v>27</v>
      </c>
      <c r="D553" s="43">
        <v>176</v>
      </c>
      <c r="E553" s="43">
        <v>20215400</v>
      </c>
      <c r="F553" s="43">
        <v>2266</v>
      </c>
      <c r="G553" s="43">
        <v>385594132</v>
      </c>
      <c r="H553" s="43"/>
      <c r="I553" s="43"/>
      <c r="J553" s="43"/>
      <c r="K553" s="43"/>
      <c r="L553" s="43">
        <v>333</v>
      </c>
      <c r="M553" s="43">
        <v>197450400</v>
      </c>
      <c r="N553" s="43">
        <v>268</v>
      </c>
      <c r="O553" s="43">
        <v>109713750</v>
      </c>
      <c r="P553" s="43">
        <v>31</v>
      </c>
      <c r="Q553" s="43">
        <v>56059750</v>
      </c>
      <c r="R553" s="43">
        <v>34</v>
      </c>
      <c r="S553" s="43">
        <v>31676900</v>
      </c>
      <c r="T553" s="44">
        <f t="shared" si="48"/>
        <v>2775</v>
      </c>
      <c r="U553" s="44">
        <f t="shared" si="48"/>
        <v>603259932</v>
      </c>
      <c r="V553" s="45">
        <f t="shared" si="49"/>
        <v>0.63918405905333686</v>
      </c>
      <c r="W553" s="44">
        <f t="shared" si="50"/>
        <v>2266</v>
      </c>
      <c r="X553" s="44">
        <f t="shared" si="51"/>
        <v>417271032</v>
      </c>
      <c r="Y553" s="43">
        <f t="shared" si="52"/>
        <v>170165.10679611651</v>
      </c>
      <c r="Z553" s="45">
        <f t="shared" si="53"/>
        <v>5.2509537464192138E-2</v>
      </c>
    </row>
    <row r="554" spans="1:26">
      <c r="A554" s="42" t="s">
        <v>1165</v>
      </c>
      <c r="B554" s="42" t="s">
        <v>1166</v>
      </c>
      <c r="C554" s="42" t="s">
        <v>27</v>
      </c>
      <c r="D554" s="43">
        <v>85</v>
      </c>
      <c r="E554" s="43">
        <v>6259400</v>
      </c>
      <c r="F554" s="43">
        <v>451</v>
      </c>
      <c r="G554" s="43">
        <v>110940300</v>
      </c>
      <c r="H554" s="43">
        <v>136</v>
      </c>
      <c r="I554" s="43">
        <v>35353200</v>
      </c>
      <c r="J554" s="43">
        <v>258</v>
      </c>
      <c r="K554" s="43">
        <v>1055300</v>
      </c>
      <c r="L554" s="43">
        <v>4</v>
      </c>
      <c r="M554" s="43">
        <v>2133200</v>
      </c>
      <c r="N554" s="43">
        <v>3</v>
      </c>
      <c r="O554" s="43">
        <v>1506200</v>
      </c>
      <c r="P554" s="43">
        <v>1</v>
      </c>
      <c r="Q554" s="43">
        <v>627000</v>
      </c>
      <c r="R554" s="43"/>
      <c r="S554" s="43"/>
      <c r="T554" s="44">
        <f t="shared" si="48"/>
        <v>934</v>
      </c>
      <c r="U554" s="44">
        <f t="shared" si="48"/>
        <v>155741400</v>
      </c>
      <c r="V554" s="45">
        <f t="shared" si="49"/>
        <v>0.9393359761758916</v>
      </c>
      <c r="W554" s="44">
        <f t="shared" si="50"/>
        <v>587</v>
      </c>
      <c r="X554" s="44">
        <f t="shared" si="51"/>
        <v>146293500</v>
      </c>
      <c r="Y554" s="43">
        <f t="shared" si="52"/>
        <v>249222.31686541738</v>
      </c>
      <c r="Z554" s="45">
        <f t="shared" si="53"/>
        <v>0</v>
      </c>
    </row>
    <row r="555" spans="1:26">
      <c r="A555" s="42" t="s">
        <v>1167</v>
      </c>
      <c r="B555" s="42" t="s">
        <v>1168</v>
      </c>
      <c r="C555" s="42" t="s">
        <v>27</v>
      </c>
      <c r="D555" s="43">
        <v>229</v>
      </c>
      <c r="E555" s="43">
        <v>9986000</v>
      </c>
      <c r="F555" s="43">
        <v>977</v>
      </c>
      <c r="G555" s="43">
        <v>196694100</v>
      </c>
      <c r="H555" s="43">
        <v>106</v>
      </c>
      <c r="I555" s="43">
        <v>26529400</v>
      </c>
      <c r="J555" s="43">
        <v>278</v>
      </c>
      <c r="K555" s="43">
        <v>3774300</v>
      </c>
      <c r="L555" s="43">
        <v>44</v>
      </c>
      <c r="M555" s="43">
        <v>254365800</v>
      </c>
      <c r="N555" s="43">
        <v>37</v>
      </c>
      <c r="O555" s="43">
        <v>19910400</v>
      </c>
      <c r="P555" s="43">
        <v>7</v>
      </c>
      <c r="Q555" s="43">
        <v>234455400</v>
      </c>
      <c r="R555" s="43"/>
      <c r="S555" s="43"/>
      <c r="T555" s="44">
        <f t="shared" si="48"/>
        <v>1634</v>
      </c>
      <c r="U555" s="44">
        <f t="shared" si="48"/>
        <v>491349600</v>
      </c>
      <c r="V555" s="45">
        <f t="shared" si="49"/>
        <v>0.45430687233692668</v>
      </c>
      <c r="W555" s="44">
        <f t="shared" si="50"/>
        <v>1083</v>
      </c>
      <c r="X555" s="44">
        <f t="shared" si="51"/>
        <v>223223500</v>
      </c>
      <c r="Y555" s="43">
        <f t="shared" si="52"/>
        <v>206115.88180978762</v>
      </c>
      <c r="Z555" s="45">
        <f t="shared" si="53"/>
        <v>0</v>
      </c>
    </row>
    <row r="556" spans="1:26">
      <c r="A556" s="42" t="s">
        <v>1169</v>
      </c>
      <c r="B556" s="42" t="s">
        <v>1170</v>
      </c>
      <c r="C556" s="42" t="s">
        <v>27</v>
      </c>
      <c r="D556" s="43">
        <v>132</v>
      </c>
      <c r="E556" s="43">
        <v>13448400</v>
      </c>
      <c r="F556" s="43">
        <v>648</v>
      </c>
      <c r="G556" s="43">
        <v>230478500</v>
      </c>
      <c r="H556" s="43">
        <v>117</v>
      </c>
      <c r="I556" s="43">
        <v>46766400</v>
      </c>
      <c r="J556" s="43">
        <v>219</v>
      </c>
      <c r="K556" s="43">
        <v>1781524</v>
      </c>
      <c r="L556" s="43">
        <v>32</v>
      </c>
      <c r="M556" s="43">
        <v>17766400</v>
      </c>
      <c r="N556" s="43">
        <v>30</v>
      </c>
      <c r="O556" s="43">
        <v>16884900</v>
      </c>
      <c r="P556" s="43">
        <v>1</v>
      </c>
      <c r="Q556" s="43">
        <v>357600</v>
      </c>
      <c r="R556" s="43">
        <v>1</v>
      </c>
      <c r="S556" s="43">
        <v>523900</v>
      </c>
      <c r="T556" s="44">
        <f t="shared" si="48"/>
        <v>1148</v>
      </c>
      <c r="U556" s="44">
        <f t="shared" si="48"/>
        <v>310241224</v>
      </c>
      <c r="V556" s="45">
        <f t="shared" si="49"/>
        <v>0.89364300599845492</v>
      </c>
      <c r="W556" s="44">
        <f t="shared" si="50"/>
        <v>765</v>
      </c>
      <c r="X556" s="44">
        <f t="shared" si="51"/>
        <v>277768800</v>
      </c>
      <c r="Y556" s="43">
        <f t="shared" si="52"/>
        <v>362411.63398692809</v>
      </c>
      <c r="Z556" s="45">
        <f t="shared" si="53"/>
        <v>1.6886859626366094E-3</v>
      </c>
    </row>
    <row r="557" spans="1:26">
      <c r="A557" s="42" t="s">
        <v>1171</v>
      </c>
      <c r="B557" s="42" t="s">
        <v>1172</v>
      </c>
      <c r="C557" s="42" t="s">
        <v>27</v>
      </c>
      <c r="D557" s="43">
        <v>139</v>
      </c>
      <c r="E557" s="43">
        <v>13292260</v>
      </c>
      <c r="F557" s="43">
        <v>1878</v>
      </c>
      <c r="G557" s="43">
        <v>598075100</v>
      </c>
      <c r="H557" s="43">
        <v>91</v>
      </c>
      <c r="I557" s="43">
        <v>27881900</v>
      </c>
      <c r="J557" s="43">
        <v>192</v>
      </c>
      <c r="K557" s="43">
        <v>2078833</v>
      </c>
      <c r="L557" s="43">
        <v>70</v>
      </c>
      <c r="M557" s="43">
        <v>49558500</v>
      </c>
      <c r="N557" s="43">
        <v>55</v>
      </c>
      <c r="O557" s="43">
        <v>30133000</v>
      </c>
      <c r="P557" s="43">
        <v>6</v>
      </c>
      <c r="Q557" s="43">
        <v>3861200</v>
      </c>
      <c r="R557" s="43">
        <v>9</v>
      </c>
      <c r="S557" s="43">
        <v>15564300</v>
      </c>
      <c r="T557" s="44">
        <f t="shared" si="48"/>
        <v>2370</v>
      </c>
      <c r="U557" s="44">
        <f t="shared" si="48"/>
        <v>690886593</v>
      </c>
      <c r="V557" s="45">
        <f t="shared" si="49"/>
        <v>0.90601989724817256</v>
      </c>
      <c r="W557" s="44">
        <f t="shared" si="50"/>
        <v>1969</v>
      </c>
      <c r="X557" s="44">
        <f t="shared" si="51"/>
        <v>641521300</v>
      </c>
      <c r="Y557" s="43">
        <f t="shared" si="52"/>
        <v>317906.0436769934</v>
      </c>
      <c r="Z557" s="45">
        <f t="shared" si="53"/>
        <v>2.2528009890039943E-2</v>
      </c>
    </row>
    <row r="558" spans="1:26">
      <c r="A558" s="42" t="s">
        <v>1173</v>
      </c>
      <c r="B558" s="42" t="s">
        <v>1174</v>
      </c>
      <c r="C558" s="42" t="s">
        <v>27</v>
      </c>
      <c r="D558" s="43">
        <v>162</v>
      </c>
      <c r="E558" s="43">
        <v>6989700</v>
      </c>
      <c r="F558" s="43">
        <v>938</v>
      </c>
      <c r="G558" s="43">
        <v>191098100</v>
      </c>
      <c r="H558" s="43">
        <v>139</v>
      </c>
      <c r="I558" s="43">
        <v>33738600</v>
      </c>
      <c r="J558" s="43">
        <v>323</v>
      </c>
      <c r="K558" s="43">
        <v>2839240</v>
      </c>
      <c r="L558" s="43">
        <v>64</v>
      </c>
      <c r="M558" s="43">
        <v>21732400</v>
      </c>
      <c r="N558" s="43">
        <v>61</v>
      </c>
      <c r="O558" s="43">
        <v>21066700</v>
      </c>
      <c r="P558" s="43"/>
      <c r="Q558" s="43"/>
      <c r="R558" s="43">
        <v>3</v>
      </c>
      <c r="S558" s="43">
        <v>665700</v>
      </c>
      <c r="T558" s="44">
        <f t="shared" si="48"/>
        <v>1626</v>
      </c>
      <c r="U558" s="44">
        <f t="shared" si="48"/>
        <v>256398040</v>
      </c>
      <c r="V558" s="45">
        <f t="shared" si="49"/>
        <v>0.87690490925749665</v>
      </c>
      <c r="W558" s="44">
        <f t="shared" si="50"/>
        <v>1077</v>
      </c>
      <c r="X558" s="44">
        <f t="shared" si="51"/>
        <v>225502400</v>
      </c>
      <c r="Y558" s="43">
        <f t="shared" si="52"/>
        <v>208762.02414113277</v>
      </c>
      <c r="Z558" s="45">
        <f t="shared" si="53"/>
        <v>2.596353700675715E-3</v>
      </c>
    </row>
    <row r="559" spans="1:26">
      <c r="A559" s="42" t="s">
        <v>1175</v>
      </c>
      <c r="B559" s="42" t="s">
        <v>1176</v>
      </c>
      <c r="C559" s="42" t="s">
        <v>27</v>
      </c>
      <c r="D559" s="43">
        <v>257</v>
      </c>
      <c r="E559" s="43">
        <v>6926400</v>
      </c>
      <c r="F559" s="43">
        <v>1016</v>
      </c>
      <c r="G559" s="43">
        <v>230138600</v>
      </c>
      <c r="H559" s="43">
        <v>89</v>
      </c>
      <c r="I559" s="43">
        <v>24366400</v>
      </c>
      <c r="J559" s="43">
        <v>177</v>
      </c>
      <c r="K559" s="43">
        <v>722800</v>
      </c>
      <c r="L559" s="43">
        <v>28</v>
      </c>
      <c r="M559" s="43">
        <v>7277200</v>
      </c>
      <c r="N559" s="43">
        <v>27</v>
      </c>
      <c r="O559" s="43">
        <v>6968400</v>
      </c>
      <c r="P559" s="43"/>
      <c r="Q559" s="43"/>
      <c r="R559" s="43">
        <v>1</v>
      </c>
      <c r="S559" s="43">
        <v>308800</v>
      </c>
      <c r="T559" s="44">
        <f t="shared" si="48"/>
        <v>1567</v>
      </c>
      <c r="U559" s="44">
        <f t="shared" si="48"/>
        <v>269431400</v>
      </c>
      <c r="V559" s="45">
        <f t="shared" si="49"/>
        <v>0.94460036951892024</v>
      </c>
      <c r="W559" s="44">
        <f t="shared" si="50"/>
        <v>1105</v>
      </c>
      <c r="X559" s="44">
        <f t="shared" si="51"/>
        <v>254813800</v>
      </c>
      <c r="Y559" s="43">
        <f t="shared" si="52"/>
        <v>230321.2669683258</v>
      </c>
      <c r="Z559" s="45">
        <f t="shared" si="53"/>
        <v>1.1461173419282237E-3</v>
      </c>
    </row>
    <row r="560" spans="1:26">
      <c r="A560" s="42" t="s">
        <v>1177</v>
      </c>
      <c r="B560" s="42" t="s">
        <v>1178</v>
      </c>
      <c r="C560" s="42" t="s">
        <v>27</v>
      </c>
      <c r="D560" s="43">
        <v>471</v>
      </c>
      <c r="E560" s="43">
        <v>55445600</v>
      </c>
      <c r="F560" s="43">
        <v>2675</v>
      </c>
      <c r="G560" s="43">
        <v>784580256</v>
      </c>
      <c r="H560" s="43">
        <v>29</v>
      </c>
      <c r="I560" s="43">
        <v>11468300</v>
      </c>
      <c r="J560" s="43">
        <v>69</v>
      </c>
      <c r="K560" s="43">
        <v>695122</v>
      </c>
      <c r="L560" s="43">
        <v>150</v>
      </c>
      <c r="M560" s="43">
        <v>174438771</v>
      </c>
      <c r="N560" s="43">
        <v>136</v>
      </c>
      <c r="O560" s="43">
        <v>137140971</v>
      </c>
      <c r="P560" s="43">
        <v>12</v>
      </c>
      <c r="Q560" s="43">
        <v>19067400</v>
      </c>
      <c r="R560" s="43">
        <v>2</v>
      </c>
      <c r="S560" s="43">
        <v>18230400</v>
      </c>
      <c r="T560" s="44">
        <f t="shared" si="48"/>
        <v>3394</v>
      </c>
      <c r="U560" s="44">
        <f t="shared" si="48"/>
        <v>1026628049</v>
      </c>
      <c r="V560" s="45">
        <f t="shared" si="49"/>
        <v>0.77540113654151677</v>
      </c>
      <c r="W560" s="44">
        <f t="shared" si="50"/>
        <v>2704</v>
      </c>
      <c r="X560" s="44">
        <f t="shared" si="51"/>
        <v>814278956</v>
      </c>
      <c r="Y560" s="43">
        <f t="shared" si="52"/>
        <v>294396.65532544377</v>
      </c>
      <c r="Z560" s="45">
        <f t="shared" si="53"/>
        <v>1.7757551060247723E-2</v>
      </c>
    </row>
    <row r="561" spans="1:26">
      <c r="A561" s="42" t="s">
        <v>1179</v>
      </c>
      <c r="B561" s="42" t="s">
        <v>298</v>
      </c>
      <c r="C561" s="42" t="s">
        <v>27</v>
      </c>
      <c r="D561" s="43">
        <v>560</v>
      </c>
      <c r="E561" s="43">
        <v>15458200</v>
      </c>
      <c r="F561" s="43">
        <v>1813</v>
      </c>
      <c r="G561" s="43">
        <v>431684500</v>
      </c>
      <c r="H561" s="43">
        <v>176</v>
      </c>
      <c r="I561" s="43">
        <v>50829400</v>
      </c>
      <c r="J561" s="43">
        <v>304</v>
      </c>
      <c r="K561" s="43">
        <v>2668700</v>
      </c>
      <c r="L561" s="43">
        <v>67</v>
      </c>
      <c r="M561" s="43">
        <v>160866400</v>
      </c>
      <c r="N561" s="43">
        <v>50</v>
      </c>
      <c r="O561" s="43">
        <v>94972200</v>
      </c>
      <c r="P561" s="43">
        <v>13</v>
      </c>
      <c r="Q561" s="43">
        <v>16094300</v>
      </c>
      <c r="R561" s="43">
        <v>4</v>
      </c>
      <c r="S561" s="43">
        <v>49799900</v>
      </c>
      <c r="T561" s="44">
        <f t="shared" si="48"/>
        <v>2920</v>
      </c>
      <c r="U561" s="44">
        <f t="shared" si="48"/>
        <v>661507200</v>
      </c>
      <c r="V561" s="45">
        <f t="shared" si="49"/>
        <v>0.72941594588841963</v>
      </c>
      <c r="W561" s="44">
        <f t="shared" si="50"/>
        <v>1989</v>
      </c>
      <c r="X561" s="44">
        <f t="shared" si="51"/>
        <v>532313800</v>
      </c>
      <c r="Y561" s="43">
        <f t="shared" si="52"/>
        <v>242591.20160884867</v>
      </c>
      <c r="Z561" s="45">
        <f t="shared" si="53"/>
        <v>7.5282476139337556E-2</v>
      </c>
    </row>
    <row r="562" spans="1:26">
      <c r="A562" s="42" t="s">
        <v>1180</v>
      </c>
      <c r="B562" s="42" t="s">
        <v>1181</v>
      </c>
      <c r="C562" s="42" t="s">
        <v>27</v>
      </c>
      <c r="D562" s="43">
        <v>196</v>
      </c>
      <c r="E562" s="43">
        <v>5571800</v>
      </c>
      <c r="F562" s="43">
        <v>855</v>
      </c>
      <c r="G562" s="43">
        <v>214059400</v>
      </c>
      <c r="H562" s="43">
        <v>19</v>
      </c>
      <c r="I562" s="43">
        <v>6377900</v>
      </c>
      <c r="J562" s="43">
        <v>52</v>
      </c>
      <c r="K562" s="43">
        <v>239860</v>
      </c>
      <c r="L562" s="43">
        <v>30</v>
      </c>
      <c r="M562" s="43">
        <v>15463700</v>
      </c>
      <c r="N562" s="43">
        <v>26</v>
      </c>
      <c r="O562" s="43">
        <v>9614200</v>
      </c>
      <c r="P562" s="43">
        <v>4</v>
      </c>
      <c r="Q562" s="43">
        <v>5849500</v>
      </c>
      <c r="R562" s="43"/>
      <c r="S562" s="43"/>
      <c r="T562" s="44">
        <f t="shared" si="48"/>
        <v>1152</v>
      </c>
      <c r="U562" s="44">
        <f t="shared" si="48"/>
        <v>241712660</v>
      </c>
      <c r="V562" s="45">
        <f t="shared" si="49"/>
        <v>0.91198077916150522</v>
      </c>
      <c r="W562" s="44">
        <f t="shared" si="50"/>
        <v>874</v>
      </c>
      <c r="X562" s="44">
        <f t="shared" si="51"/>
        <v>220437300</v>
      </c>
      <c r="Y562" s="43">
        <f t="shared" si="52"/>
        <v>252216.59038901603</v>
      </c>
      <c r="Z562" s="45">
        <f t="shared" si="53"/>
        <v>0</v>
      </c>
    </row>
    <row r="563" spans="1:26">
      <c r="A563" s="42" t="s">
        <v>1182</v>
      </c>
      <c r="B563" s="42" t="s">
        <v>1183</v>
      </c>
      <c r="C563" s="42" t="s">
        <v>27</v>
      </c>
      <c r="D563" s="43">
        <v>178</v>
      </c>
      <c r="E563" s="43">
        <v>6779400</v>
      </c>
      <c r="F563" s="43">
        <v>4485</v>
      </c>
      <c r="G563" s="43">
        <v>401783134</v>
      </c>
      <c r="H563" s="43"/>
      <c r="I563" s="43"/>
      <c r="J563" s="43">
        <v>1</v>
      </c>
      <c r="K563" s="43">
        <v>43976</v>
      </c>
      <c r="L563" s="43">
        <v>399</v>
      </c>
      <c r="M563" s="43">
        <v>146534235</v>
      </c>
      <c r="N563" s="43">
        <v>323</v>
      </c>
      <c r="O563" s="43">
        <v>84752985</v>
      </c>
      <c r="P563" s="43">
        <v>39</v>
      </c>
      <c r="Q563" s="43">
        <v>43011250</v>
      </c>
      <c r="R563" s="43">
        <v>37</v>
      </c>
      <c r="S563" s="43">
        <v>18770000</v>
      </c>
      <c r="T563" s="44">
        <f t="shared" si="48"/>
        <v>5063</v>
      </c>
      <c r="U563" s="44">
        <f t="shared" si="48"/>
        <v>555140745</v>
      </c>
      <c r="V563" s="45">
        <f t="shared" si="49"/>
        <v>0.7237500356778892</v>
      </c>
      <c r="W563" s="44">
        <f t="shared" si="50"/>
        <v>4485</v>
      </c>
      <c r="X563" s="44">
        <f t="shared" si="51"/>
        <v>420553134</v>
      </c>
      <c r="Y563" s="43">
        <f t="shared" si="52"/>
        <v>89583.753400222966</v>
      </c>
      <c r="Z563" s="45">
        <f t="shared" si="53"/>
        <v>3.3811245470731929E-2</v>
      </c>
    </row>
    <row r="564" spans="1:26">
      <c r="A564" s="42" t="s">
        <v>1184</v>
      </c>
      <c r="B564" s="42" t="s">
        <v>1185</v>
      </c>
      <c r="C564" s="42" t="s">
        <v>27</v>
      </c>
      <c r="D564" s="43">
        <v>126</v>
      </c>
      <c r="E564" s="43">
        <v>6272800</v>
      </c>
      <c r="F564" s="43">
        <v>1231</v>
      </c>
      <c r="G564" s="43">
        <v>204453600</v>
      </c>
      <c r="H564" s="43">
        <v>110</v>
      </c>
      <c r="I564" s="43">
        <v>27250300</v>
      </c>
      <c r="J564" s="43">
        <v>201</v>
      </c>
      <c r="K564" s="43">
        <v>2548200</v>
      </c>
      <c r="L564" s="43">
        <v>61</v>
      </c>
      <c r="M564" s="43">
        <v>97468100</v>
      </c>
      <c r="N564" s="43">
        <v>54</v>
      </c>
      <c r="O564" s="43">
        <v>91432000</v>
      </c>
      <c r="P564" s="43">
        <v>5</v>
      </c>
      <c r="Q564" s="43">
        <v>5636800</v>
      </c>
      <c r="R564" s="43">
        <v>2</v>
      </c>
      <c r="S564" s="43">
        <v>399300</v>
      </c>
      <c r="T564" s="44">
        <f t="shared" si="48"/>
        <v>1729</v>
      </c>
      <c r="U564" s="44">
        <f t="shared" si="48"/>
        <v>337993000</v>
      </c>
      <c r="V564" s="45">
        <f t="shared" si="49"/>
        <v>0.68552869438124453</v>
      </c>
      <c r="W564" s="44">
        <f t="shared" si="50"/>
        <v>1341</v>
      </c>
      <c r="X564" s="44">
        <f t="shared" si="51"/>
        <v>232103200</v>
      </c>
      <c r="Y564" s="43">
        <f t="shared" si="52"/>
        <v>172784.41461595823</v>
      </c>
      <c r="Z564" s="45">
        <f t="shared" si="53"/>
        <v>1.1813854133073762E-3</v>
      </c>
    </row>
    <row r="565" spans="1:26">
      <c r="A565" s="42" t="s">
        <v>1186</v>
      </c>
      <c r="B565" s="42" t="s">
        <v>1187</v>
      </c>
      <c r="C565" s="42" t="s">
        <v>27</v>
      </c>
      <c r="D565" s="43">
        <v>229</v>
      </c>
      <c r="E565" s="43">
        <v>9560900</v>
      </c>
      <c r="F565" s="43">
        <v>1918</v>
      </c>
      <c r="G565" s="43">
        <v>283120160</v>
      </c>
      <c r="H565" s="43">
        <v>1</v>
      </c>
      <c r="I565" s="43">
        <v>437600</v>
      </c>
      <c r="J565" s="43">
        <v>4</v>
      </c>
      <c r="K565" s="43">
        <v>5300</v>
      </c>
      <c r="L565" s="43">
        <v>202</v>
      </c>
      <c r="M565" s="43">
        <v>88193800</v>
      </c>
      <c r="N565" s="43">
        <v>170</v>
      </c>
      <c r="O565" s="43">
        <v>48586900</v>
      </c>
      <c r="P565" s="43">
        <v>14</v>
      </c>
      <c r="Q565" s="43">
        <v>16823900</v>
      </c>
      <c r="R565" s="43">
        <v>18</v>
      </c>
      <c r="S565" s="43">
        <v>22783000</v>
      </c>
      <c r="T565" s="44">
        <f t="shared" si="48"/>
        <v>2354</v>
      </c>
      <c r="U565" s="44">
        <f t="shared" si="48"/>
        <v>381317760</v>
      </c>
      <c r="V565" s="45">
        <f t="shared" si="49"/>
        <v>0.74362589353299469</v>
      </c>
      <c r="W565" s="44">
        <f t="shared" si="50"/>
        <v>1919</v>
      </c>
      <c r="X565" s="44">
        <f t="shared" si="51"/>
        <v>306340760</v>
      </c>
      <c r="Y565" s="43">
        <f t="shared" si="52"/>
        <v>147763.29338196976</v>
      </c>
      <c r="Z565" s="45">
        <f t="shared" si="53"/>
        <v>5.9748069431646719E-2</v>
      </c>
    </row>
    <row r="566" spans="1:26">
      <c r="A566" s="42" t="s">
        <v>1188</v>
      </c>
      <c r="B566" s="42" t="s">
        <v>254</v>
      </c>
      <c r="C566" s="42" t="s">
        <v>27</v>
      </c>
      <c r="D566" s="43">
        <v>264</v>
      </c>
      <c r="E566" s="43">
        <v>12393800</v>
      </c>
      <c r="F566" s="43">
        <v>2276</v>
      </c>
      <c r="G566" s="43">
        <v>555261299</v>
      </c>
      <c r="H566" s="43">
        <v>101</v>
      </c>
      <c r="I566" s="43">
        <v>23399000</v>
      </c>
      <c r="J566" s="43">
        <v>200</v>
      </c>
      <c r="K566" s="43">
        <v>2416625</v>
      </c>
      <c r="L566" s="43">
        <v>100</v>
      </c>
      <c r="M566" s="43">
        <v>73023800</v>
      </c>
      <c r="N566" s="43">
        <v>91</v>
      </c>
      <c r="O566" s="43">
        <v>67642300</v>
      </c>
      <c r="P566" s="43">
        <v>6</v>
      </c>
      <c r="Q566" s="43">
        <v>3501200</v>
      </c>
      <c r="R566" s="43">
        <v>3</v>
      </c>
      <c r="S566" s="43">
        <v>1880300</v>
      </c>
      <c r="T566" s="44">
        <f t="shared" si="48"/>
        <v>2941</v>
      </c>
      <c r="U566" s="44">
        <f t="shared" si="48"/>
        <v>666494524</v>
      </c>
      <c r="V566" s="45">
        <f t="shared" si="49"/>
        <v>0.86821463367341933</v>
      </c>
      <c r="W566" s="44">
        <f t="shared" si="50"/>
        <v>2377</v>
      </c>
      <c r="X566" s="44">
        <f t="shared" si="51"/>
        <v>580540599</v>
      </c>
      <c r="Y566" s="43">
        <f t="shared" si="52"/>
        <v>243441.43836769037</v>
      </c>
      <c r="Z566" s="45">
        <f t="shared" si="53"/>
        <v>2.8211784677768786E-3</v>
      </c>
    </row>
    <row r="567" spans="1:26">
      <c r="A567" s="42" t="s">
        <v>1189</v>
      </c>
      <c r="B567" s="42" t="s">
        <v>1190</v>
      </c>
      <c r="C567" s="42" t="s">
        <v>27</v>
      </c>
      <c r="D567" s="43">
        <v>218</v>
      </c>
      <c r="E567" s="43">
        <v>15523627</v>
      </c>
      <c r="F567" s="43">
        <v>1546</v>
      </c>
      <c r="G567" s="43">
        <v>413127700</v>
      </c>
      <c r="H567" s="43">
        <v>146</v>
      </c>
      <c r="I567" s="43">
        <v>41291800</v>
      </c>
      <c r="J567" s="43">
        <v>321</v>
      </c>
      <c r="K567" s="43">
        <v>3401421</v>
      </c>
      <c r="L567" s="43">
        <v>100</v>
      </c>
      <c r="M567" s="43">
        <v>156530400</v>
      </c>
      <c r="N567" s="43">
        <v>86</v>
      </c>
      <c r="O567" s="43">
        <v>41482200</v>
      </c>
      <c r="P567" s="43">
        <v>9</v>
      </c>
      <c r="Q567" s="43">
        <v>109569800</v>
      </c>
      <c r="R567" s="43">
        <v>5</v>
      </c>
      <c r="S567" s="43">
        <v>5478400</v>
      </c>
      <c r="T567" s="44">
        <f t="shared" si="48"/>
        <v>2331</v>
      </c>
      <c r="U567" s="44">
        <f t="shared" si="48"/>
        <v>629874948</v>
      </c>
      <c r="V567" s="45">
        <f t="shared" si="49"/>
        <v>0.72144399684872051</v>
      </c>
      <c r="W567" s="44">
        <f t="shared" si="50"/>
        <v>1692</v>
      </c>
      <c r="X567" s="44">
        <f t="shared" si="51"/>
        <v>459897900</v>
      </c>
      <c r="Y567" s="43">
        <f t="shared" si="52"/>
        <v>268569.44444444444</v>
      </c>
      <c r="Z567" s="45">
        <f t="shared" si="53"/>
        <v>8.6975994479462932E-3</v>
      </c>
    </row>
    <row r="568" spans="1:26">
      <c r="D568" s="44">
        <f>SUM(D2:D567)</f>
        <v>232822</v>
      </c>
      <c r="E568" s="44">
        <f t="shared" ref="E568:U568" si="54">SUM(E2:E567)</f>
        <v>19253194122</v>
      </c>
      <c r="F568" s="44">
        <f t="shared" si="54"/>
        <v>2498122</v>
      </c>
      <c r="G568" s="44">
        <f t="shared" si="54"/>
        <v>675327667754</v>
      </c>
      <c r="H568" s="44">
        <f t="shared" si="54"/>
        <v>18943</v>
      </c>
      <c r="I568" s="44">
        <f t="shared" si="54"/>
        <v>7281319880</v>
      </c>
      <c r="J568" s="44">
        <f t="shared" si="54"/>
        <v>37922</v>
      </c>
      <c r="K568" s="44">
        <f t="shared" si="54"/>
        <v>418192820</v>
      </c>
      <c r="L568" s="44">
        <f t="shared" si="54"/>
        <v>159433</v>
      </c>
      <c r="M568" s="44">
        <f t="shared" si="54"/>
        <v>189304831175</v>
      </c>
      <c r="N568" s="44">
        <f t="shared" si="54"/>
        <v>125821</v>
      </c>
      <c r="O568" s="44">
        <f t="shared" si="54"/>
        <v>129764805175</v>
      </c>
      <c r="P568" s="44">
        <f t="shared" si="54"/>
        <v>17293</v>
      </c>
      <c r="Q568" s="44">
        <f t="shared" si="54"/>
        <v>34714411964</v>
      </c>
      <c r="R568" s="44">
        <f t="shared" si="54"/>
        <v>16319</v>
      </c>
      <c r="S568" s="44">
        <f t="shared" si="54"/>
        <v>24825614036</v>
      </c>
      <c r="T568" s="44">
        <f t="shared" si="54"/>
        <v>2947242</v>
      </c>
      <c r="U568" s="44">
        <f t="shared" si="54"/>
        <v>891585205751</v>
      </c>
      <c r="V568" s="45">
        <f>(G568+I568)/U568</f>
        <v>0.76561273474588987</v>
      </c>
      <c r="W568" s="44">
        <f>F568+H568</f>
        <v>2517065</v>
      </c>
      <c r="X568" s="44">
        <f>G568+I568+S568</f>
        <v>707434601670</v>
      </c>
      <c r="Y568" s="43">
        <f t="shared" si="52"/>
        <v>271192.43548895238</v>
      </c>
    </row>
    <row r="574" spans="1:26">
      <c r="B574" s="42" t="s">
        <v>1191</v>
      </c>
      <c r="C574" s="46" t="s">
        <v>7</v>
      </c>
      <c r="D574" s="47">
        <f t="shared" ref="D574:S589" si="55">SUMIF($C$2:$C$567,$C574,D$2:D$567)</f>
        <v>27009</v>
      </c>
      <c r="E574" s="47">
        <f t="shared" si="55"/>
        <v>2099731500</v>
      </c>
      <c r="F574" s="47">
        <f t="shared" si="55"/>
        <v>101156</v>
      </c>
      <c r="G574" s="47">
        <f t="shared" si="55"/>
        <v>23597320300</v>
      </c>
      <c r="H574" s="47">
        <f t="shared" si="55"/>
        <v>662</v>
      </c>
      <c r="I574" s="47">
        <f t="shared" si="55"/>
        <v>92852200</v>
      </c>
      <c r="J574" s="47">
        <f t="shared" si="55"/>
        <v>1652</v>
      </c>
      <c r="K574" s="47">
        <f t="shared" si="55"/>
        <v>17879400</v>
      </c>
      <c r="L574" s="47">
        <f t="shared" si="55"/>
        <v>6442</v>
      </c>
      <c r="M574" s="47">
        <f t="shared" si="55"/>
        <v>18778302100</v>
      </c>
      <c r="N574" s="47">
        <f t="shared" si="55"/>
        <v>5887</v>
      </c>
      <c r="O574" s="47">
        <f t="shared" si="55"/>
        <v>18104447300</v>
      </c>
      <c r="P574" s="47">
        <f t="shared" si="55"/>
        <v>209</v>
      </c>
      <c r="Q574" s="47">
        <f t="shared" si="55"/>
        <v>165554900</v>
      </c>
      <c r="R574" s="47">
        <f t="shared" si="55"/>
        <v>346</v>
      </c>
      <c r="S574" s="47">
        <f t="shared" si="55"/>
        <v>508299900</v>
      </c>
      <c r="T574" s="47"/>
      <c r="U574" s="47">
        <f t="shared" ref="U574:U594" si="56">SUMIF($C$2:$C$567,$C574,U$2:U$567)</f>
        <v>44586085500</v>
      </c>
      <c r="W574" s="47">
        <f t="shared" ref="W574:X594" si="57">SUMIF($C$2:$C$567,$C574,W$2:W$567)</f>
        <v>101818</v>
      </c>
      <c r="X574" s="47">
        <f t="shared" si="57"/>
        <v>24198472400</v>
      </c>
      <c r="Y574" s="43">
        <f t="shared" ref="Y574:Y594" si="58">(G574+I574)/(H574+F574)</f>
        <v>232671.75253884381</v>
      </c>
    </row>
    <row r="575" spans="1:26">
      <c r="C575" s="46" t="s">
        <v>8</v>
      </c>
      <c r="D575" s="47">
        <f t="shared" si="55"/>
        <v>6351</v>
      </c>
      <c r="E575" s="47">
        <f t="shared" si="55"/>
        <v>2147702144</v>
      </c>
      <c r="F575" s="47">
        <f t="shared" si="55"/>
        <v>247222</v>
      </c>
      <c r="G575" s="47">
        <f t="shared" si="55"/>
        <v>118619593460</v>
      </c>
      <c r="H575" s="47">
        <f t="shared" si="55"/>
        <v>51</v>
      </c>
      <c r="I575" s="47">
        <f t="shared" si="55"/>
        <v>48385100</v>
      </c>
      <c r="J575" s="47">
        <f t="shared" si="55"/>
        <v>82</v>
      </c>
      <c r="K575" s="47">
        <f t="shared" si="55"/>
        <v>1602200</v>
      </c>
      <c r="L575" s="47">
        <f t="shared" si="55"/>
        <v>15965</v>
      </c>
      <c r="M575" s="47">
        <f t="shared" si="55"/>
        <v>33791158113</v>
      </c>
      <c r="N575" s="47">
        <f t="shared" si="55"/>
        <v>11490</v>
      </c>
      <c r="O575" s="47">
        <f t="shared" si="55"/>
        <v>21190278159</v>
      </c>
      <c r="P575" s="47">
        <f t="shared" si="55"/>
        <v>2806</v>
      </c>
      <c r="Q575" s="47">
        <f t="shared" si="55"/>
        <v>6596012634</v>
      </c>
      <c r="R575" s="47">
        <f t="shared" si="55"/>
        <v>1669</v>
      </c>
      <c r="S575" s="47">
        <f t="shared" si="55"/>
        <v>6004867320</v>
      </c>
      <c r="T575" s="47"/>
      <c r="U575" s="47">
        <f t="shared" si="56"/>
        <v>154608441017</v>
      </c>
      <c r="W575" s="47">
        <f t="shared" si="57"/>
        <v>247273</v>
      </c>
      <c r="X575" s="47">
        <f t="shared" si="57"/>
        <v>124672845880</v>
      </c>
      <c r="Y575" s="43">
        <f t="shared" si="58"/>
        <v>479906.73692639312</v>
      </c>
    </row>
    <row r="576" spans="1:26">
      <c r="C576" s="46" t="s">
        <v>9</v>
      </c>
      <c r="D576" s="47">
        <f t="shared" si="55"/>
        <v>15004</v>
      </c>
      <c r="E576" s="47">
        <f t="shared" si="55"/>
        <v>628689310</v>
      </c>
      <c r="F576" s="47">
        <f t="shared" si="55"/>
        <v>142140</v>
      </c>
      <c r="G576" s="47">
        <f t="shared" si="55"/>
        <v>27155704578</v>
      </c>
      <c r="H576" s="47">
        <f t="shared" si="55"/>
        <v>1476</v>
      </c>
      <c r="I576" s="47">
        <f t="shared" si="55"/>
        <v>427433660</v>
      </c>
      <c r="J576" s="47">
        <f t="shared" si="55"/>
        <v>3042</v>
      </c>
      <c r="K576" s="47">
        <f t="shared" si="55"/>
        <v>51109666</v>
      </c>
      <c r="L576" s="47">
        <f t="shared" si="55"/>
        <v>6096</v>
      </c>
      <c r="M576" s="47">
        <f t="shared" si="55"/>
        <v>6738361338</v>
      </c>
      <c r="N576" s="47">
        <f t="shared" si="55"/>
        <v>5148</v>
      </c>
      <c r="O576" s="47">
        <f t="shared" si="55"/>
        <v>4579234958</v>
      </c>
      <c r="P576" s="47">
        <f t="shared" si="55"/>
        <v>616</v>
      </c>
      <c r="Q576" s="47">
        <f t="shared" si="55"/>
        <v>1271067730</v>
      </c>
      <c r="R576" s="47">
        <f t="shared" si="55"/>
        <v>332</v>
      </c>
      <c r="S576" s="47">
        <f t="shared" si="55"/>
        <v>888058650</v>
      </c>
      <c r="T576" s="47"/>
      <c r="U576" s="47">
        <f t="shared" si="56"/>
        <v>35001298552</v>
      </c>
      <c r="W576" s="47">
        <f t="shared" si="57"/>
        <v>143616</v>
      </c>
      <c r="X576" s="47">
        <f t="shared" si="57"/>
        <v>28471196888</v>
      </c>
      <c r="Y576" s="43">
        <f t="shared" si="58"/>
        <v>192061.73572582443</v>
      </c>
    </row>
    <row r="577" spans="3:25">
      <c r="C577" s="46" t="s">
        <v>10</v>
      </c>
      <c r="D577" s="47">
        <f t="shared" si="55"/>
        <v>14130</v>
      </c>
      <c r="E577" s="47">
        <f t="shared" si="55"/>
        <v>383797903</v>
      </c>
      <c r="F577" s="47">
        <f t="shared" si="55"/>
        <v>155709</v>
      </c>
      <c r="G577" s="47">
        <f t="shared" si="55"/>
        <v>19744685910</v>
      </c>
      <c r="H577" s="47">
        <f t="shared" si="55"/>
        <v>348</v>
      </c>
      <c r="I577" s="47">
        <f t="shared" si="55"/>
        <v>44847220</v>
      </c>
      <c r="J577" s="47">
        <f t="shared" si="55"/>
        <v>822</v>
      </c>
      <c r="K577" s="47">
        <f t="shared" si="55"/>
        <v>6660900</v>
      </c>
      <c r="L577" s="47">
        <f t="shared" si="55"/>
        <v>9222</v>
      </c>
      <c r="M577" s="47">
        <f t="shared" si="55"/>
        <v>5186506587</v>
      </c>
      <c r="N577" s="47">
        <f t="shared" si="55"/>
        <v>7969</v>
      </c>
      <c r="O577" s="47">
        <f t="shared" si="55"/>
        <v>3847325693</v>
      </c>
      <c r="P577" s="47">
        <f t="shared" si="55"/>
        <v>695</v>
      </c>
      <c r="Q577" s="47">
        <f t="shared" si="55"/>
        <v>571041040</v>
      </c>
      <c r="R577" s="47">
        <f t="shared" si="55"/>
        <v>558</v>
      </c>
      <c r="S577" s="47">
        <f t="shared" si="55"/>
        <v>768139854</v>
      </c>
      <c r="T577" s="47"/>
      <c r="U577" s="47">
        <f t="shared" si="56"/>
        <v>25366498520</v>
      </c>
      <c r="W577" s="47">
        <f t="shared" si="57"/>
        <v>156057</v>
      </c>
      <c r="X577" s="47">
        <f t="shared" si="57"/>
        <v>20557672984</v>
      </c>
      <c r="Y577" s="43">
        <f t="shared" si="58"/>
        <v>126809.64730835528</v>
      </c>
    </row>
    <row r="578" spans="3:25">
      <c r="C578" s="46" t="s">
        <v>11</v>
      </c>
      <c r="D578" s="47">
        <f t="shared" si="55"/>
        <v>8877</v>
      </c>
      <c r="E578" s="47">
        <f t="shared" si="55"/>
        <v>1570119500</v>
      </c>
      <c r="F578" s="47">
        <f t="shared" si="55"/>
        <v>85513</v>
      </c>
      <c r="G578" s="47">
        <f t="shared" si="55"/>
        <v>45504476200</v>
      </c>
      <c r="H578" s="47">
        <f t="shared" si="55"/>
        <v>191</v>
      </c>
      <c r="I578" s="47">
        <f t="shared" si="55"/>
        <v>63240200</v>
      </c>
      <c r="J578" s="47">
        <f t="shared" si="55"/>
        <v>480</v>
      </c>
      <c r="K578" s="47">
        <f t="shared" si="55"/>
        <v>4682600</v>
      </c>
      <c r="L578" s="47">
        <f t="shared" si="55"/>
        <v>4338</v>
      </c>
      <c r="M578" s="47">
        <f t="shared" si="55"/>
        <v>4223895447</v>
      </c>
      <c r="N578" s="47">
        <f t="shared" si="55"/>
        <v>3755</v>
      </c>
      <c r="O578" s="47">
        <f t="shared" si="55"/>
        <v>3707949447</v>
      </c>
      <c r="P578" s="47">
        <f t="shared" si="55"/>
        <v>18</v>
      </c>
      <c r="Q578" s="47">
        <f t="shared" si="55"/>
        <v>42612300</v>
      </c>
      <c r="R578" s="47">
        <f t="shared" si="55"/>
        <v>565</v>
      </c>
      <c r="S578" s="47">
        <f t="shared" si="55"/>
        <v>473333700</v>
      </c>
      <c r="T578" s="47"/>
      <c r="U578" s="47">
        <f t="shared" si="56"/>
        <v>51366413947</v>
      </c>
      <c r="W578" s="47">
        <f t="shared" si="57"/>
        <v>85704</v>
      </c>
      <c r="X578" s="47">
        <f t="shared" si="57"/>
        <v>46041050100</v>
      </c>
      <c r="Y578" s="43">
        <f t="shared" si="58"/>
        <v>531687.1604592551</v>
      </c>
    </row>
    <row r="579" spans="3:25">
      <c r="C579" s="46" t="s">
        <v>12</v>
      </c>
      <c r="D579" s="47">
        <f t="shared" si="55"/>
        <v>11536</v>
      </c>
      <c r="E579" s="47">
        <f t="shared" si="55"/>
        <v>151503775</v>
      </c>
      <c r="F579" s="47">
        <f t="shared" si="55"/>
        <v>40694</v>
      </c>
      <c r="G579" s="47">
        <f t="shared" si="55"/>
        <v>3892306390</v>
      </c>
      <c r="H579" s="47">
        <f t="shared" si="55"/>
        <v>1541</v>
      </c>
      <c r="I579" s="47">
        <f t="shared" si="55"/>
        <v>188643200</v>
      </c>
      <c r="J579" s="47">
        <f t="shared" si="55"/>
        <v>3020</v>
      </c>
      <c r="K579" s="47">
        <f t="shared" si="55"/>
        <v>35513500</v>
      </c>
      <c r="L579" s="47">
        <f t="shared" si="55"/>
        <v>3223</v>
      </c>
      <c r="M579" s="47">
        <f t="shared" si="55"/>
        <v>1201919650</v>
      </c>
      <c r="N579" s="47">
        <f t="shared" si="55"/>
        <v>2748</v>
      </c>
      <c r="O579" s="47">
        <f t="shared" si="55"/>
        <v>787073050</v>
      </c>
      <c r="P579" s="47">
        <f t="shared" si="55"/>
        <v>312</v>
      </c>
      <c r="Q579" s="47">
        <f t="shared" si="55"/>
        <v>299945200</v>
      </c>
      <c r="R579" s="47">
        <f t="shared" si="55"/>
        <v>163</v>
      </c>
      <c r="S579" s="47">
        <f t="shared" si="55"/>
        <v>114901400</v>
      </c>
      <c r="T579" s="47"/>
      <c r="U579" s="47">
        <f t="shared" si="56"/>
        <v>5469886515</v>
      </c>
      <c r="W579" s="47">
        <f t="shared" si="57"/>
        <v>42235</v>
      </c>
      <c r="X579" s="47">
        <f t="shared" si="57"/>
        <v>4195850990</v>
      </c>
      <c r="Y579" s="43">
        <f t="shared" si="58"/>
        <v>96624.827512726406</v>
      </c>
    </row>
    <row r="580" spans="3:25">
      <c r="C580" s="48" t="s">
        <v>13</v>
      </c>
      <c r="D580" s="47">
        <f t="shared" si="55"/>
        <v>8448</v>
      </c>
      <c r="E580" s="47">
        <f t="shared" si="55"/>
        <v>984658000</v>
      </c>
      <c r="F580" s="47">
        <f t="shared" si="55"/>
        <v>151966</v>
      </c>
      <c r="G580" s="47">
        <f t="shared" si="55"/>
        <v>44196481191</v>
      </c>
      <c r="H580" s="47">
        <f t="shared" si="55"/>
        <v>4</v>
      </c>
      <c r="I580" s="47">
        <f t="shared" si="55"/>
        <v>1260200</v>
      </c>
      <c r="J580" s="47">
        <f t="shared" si="55"/>
        <v>17</v>
      </c>
      <c r="K580" s="47">
        <f t="shared" si="55"/>
        <v>143900</v>
      </c>
      <c r="L580" s="47">
        <f t="shared" si="55"/>
        <v>16724</v>
      </c>
      <c r="M580" s="47">
        <f t="shared" si="55"/>
        <v>15523501140</v>
      </c>
      <c r="N580" s="47">
        <f t="shared" si="55"/>
        <v>12098</v>
      </c>
      <c r="O580" s="47">
        <f t="shared" si="55"/>
        <v>9939957200</v>
      </c>
      <c r="P580" s="47">
        <f t="shared" si="55"/>
        <v>1952</v>
      </c>
      <c r="Q580" s="47">
        <f t="shared" si="55"/>
        <v>2180619540</v>
      </c>
      <c r="R580" s="47">
        <f t="shared" si="55"/>
        <v>2674</v>
      </c>
      <c r="S580" s="47">
        <f t="shared" si="55"/>
        <v>3402924400</v>
      </c>
      <c r="T580" s="47"/>
      <c r="U580" s="47">
        <f t="shared" si="56"/>
        <v>60706044431</v>
      </c>
      <c r="W580" s="47">
        <f t="shared" si="57"/>
        <v>151970</v>
      </c>
      <c r="X580" s="47">
        <f t="shared" si="57"/>
        <v>47600665791</v>
      </c>
      <c r="Y580" s="43">
        <f t="shared" si="58"/>
        <v>290832.0154701586</v>
      </c>
    </row>
    <row r="581" spans="3:25">
      <c r="C581" s="46" t="s">
        <v>14</v>
      </c>
      <c r="D581" s="47">
        <f t="shared" si="55"/>
        <v>12548</v>
      </c>
      <c r="E581" s="47">
        <f t="shared" si="55"/>
        <v>438933887</v>
      </c>
      <c r="F581" s="47">
        <f t="shared" si="55"/>
        <v>89407</v>
      </c>
      <c r="G581" s="47">
        <f t="shared" si="55"/>
        <v>12489397350</v>
      </c>
      <c r="H581" s="47">
        <f t="shared" si="55"/>
        <v>1285</v>
      </c>
      <c r="I581" s="47">
        <f t="shared" si="55"/>
        <v>204334600</v>
      </c>
      <c r="J581" s="47">
        <f t="shared" si="55"/>
        <v>2991</v>
      </c>
      <c r="K581" s="47">
        <f t="shared" si="55"/>
        <v>32129400</v>
      </c>
      <c r="L581" s="47">
        <f t="shared" si="55"/>
        <v>4463</v>
      </c>
      <c r="M581" s="47">
        <f t="shared" si="55"/>
        <v>3525183114</v>
      </c>
      <c r="N581" s="47">
        <f t="shared" si="55"/>
        <v>4035</v>
      </c>
      <c r="O581" s="47">
        <f t="shared" si="55"/>
        <v>2469159960</v>
      </c>
      <c r="P581" s="47">
        <f t="shared" si="55"/>
        <v>243</v>
      </c>
      <c r="Q581" s="47">
        <f t="shared" si="55"/>
        <v>794089754</v>
      </c>
      <c r="R581" s="47">
        <f t="shared" si="55"/>
        <v>185</v>
      </c>
      <c r="S581" s="47">
        <f t="shared" si="55"/>
        <v>261933400</v>
      </c>
      <c r="T581" s="47"/>
      <c r="U581" s="47">
        <f t="shared" si="56"/>
        <v>16689978351</v>
      </c>
      <c r="W581" s="47">
        <f t="shared" si="57"/>
        <v>90692</v>
      </c>
      <c r="X581" s="47">
        <f t="shared" si="57"/>
        <v>12955665350</v>
      </c>
      <c r="Y581" s="43">
        <f t="shared" si="58"/>
        <v>139965.28855907908</v>
      </c>
    </row>
    <row r="582" spans="3:25">
      <c r="C582" s="46" t="s">
        <v>15</v>
      </c>
      <c r="D582" s="47">
        <f t="shared" si="55"/>
        <v>11959</v>
      </c>
      <c r="E582" s="47">
        <f t="shared" si="55"/>
        <v>946465666</v>
      </c>
      <c r="F582" s="47">
        <f t="shared" si="55"/>
        <v>96572</v>
      </c>
      <c r="G582" s="47">
        <f t="shared" si="55"/>
        <v>11956699122</v>
      </c>
      <c r="H582" s="47">
        <f t="shared" si="55"/>
        <v>0</v>
      </c>
      <c r="I582" s="47">
        <f t="shared" si="55"/>
        <v>0</v>
      </c>
      <c r="J582" s="47">
        <f t="shared" si="55"/>
        <v>0</v>
      </c>
      <c r="K582" s="47">
        <f t="shared" si="55"/>
        <v>0</v>
      </c>
      <c r="L582" s="47">
        <f t="shared" si="55"/>
        <v>15471</v>
      </c>
      <c r="M582" s="47">
        <f t="shared" si="55"/>
        <v>8899935873</v>
      </c>
      <c r="N582" s="47">
        <f t="shared" si="55"/>
        <v>9634</v>
      </c>
      <c r="O582" s="47">
        <f t="shared" si="55"/>
        <v>4727563843</v>
      </c>
      <c r="P582" s="47">
        <f t="shared" si="55"/>
        <v>1792</v>
      </c>
      <c r="Q582" s="47">
        <f t="shared" si="55"/>
        <v>2518665330</v>
      </c>
      <c r="R582" s="47">
        <f t="shared" si="55"/>
        <v>4045</v>
      </c>
      <c r="S582" s="47">
        <f t="shared" si="55"/>
        <v>1653706700</v>
      </c>
      <c r="T582" s="47"/>
      <c r="U582" s="47">
        <f t="shared" si="56"/>
        <v>21803100661</v>
      </c>
      <c r="W582" s="47">
        <f t="shared" si="57"/>
        <v>96572</v>
      </c>
      <c r="X582" s="47">
        <f t="shared" si="57"/>
        <v>13610405822</v>
      </c>
      <c r="Y582" s="43">
        <f t="shared" si="58"/>
        <v>123811.24054591393</v>
      </c>
    </row>
    <row r="583" spans="3:25">
      <c r="C583" s="46" t="s">
        <v>16</v>
      </c>
      <c r="D583" s="47">
        <f t="shared" si="55"/>
        <v>3794</v>
      </c>
      <c r="E583" s="47">
        <f t="shared" si="55"/>
        <v>383119236</v>
      </c>
      <c r="F583" s="47">
        <f t="shared" si="55"/>
        <v>41367</v>
      </c>
      <c r="G583" s="47">
        <f t="shared" si="55"/>
        <v>16501837060</v>
      </c>
      <c r="H583" s="47">
        <f t="shared" si="55"/>
        <v>3277</v>
      </c>
      <c r="I583" s="47">
        <f t="shared" si="55"/>
        <v>1590870700</v>
      </c>
      <c r="J583" s="47">
        <f t="shared" si="55"/>
        <v>5300</v>
      </c>
      <c r="K583" s="47">
        <f t="shared" si="55"/>
        <v>50563566</v>
      </c>
      <c r="L583" s="47">
        <f t="shared" si="55"/>
        <v>2377</v>
      </c>
      <c r="M583" s="47">
        <f t="shared" si="55"/>
        <v>2913747668</v>
      </c>
      <c r="N583" s="47">
        <f t="shared" si="55"/>
        <v>2085</v>
      </c>
      <c r="O583" s="47">
        <f t="shared" si="55"/>
        <v>2300935438</v>
      </c>
      <c r="P583" s="47">
        <f t="shared" si="55"/>
        <v>177</v>
      </c>
      <c r="Q583" s="47">
        <f t="shared" si="55"/>
        <v>475569050</v>
      </c>
      <c r="R583" s="47">
        <f t="shared" si="55"/>
        <v>115</v>
      </c>
      <c r="S583" s="47">
        <f t="shared" si="55"/>
        <v>137243180</v>
      </c>
      <c r="T583" s="47"/>
      <c r="U583" s="47">
        <f t="shared" si="56"/>
        <v>21440138230</v>
      </c>
      <c r="W583" s="47">
        <f t="shared" si="57"/>
        <v>44644</v>
      </c>
      <c r="X583" s="47">
        <f t="shared" si="57"/>
        <v>18229950940</v>
      </c>
      <c r="Y583" s="43">
        <f t="shared" si="58"/>
        <v>405266.27900725743</v>
      </c>
    </row>
    <row r="584" spans="3:25">
      <c r="C584" s="46" t="s">
        <v>17</v>
      </c>
      <c r="D584" s="47">
        <f t="shared" si="55"/>
        <v>6340</v>
      </c>
      <c r="E584" s="47">
        <f t="shared" si="55"/>
        <v>522328199</v>
      </c>
      <c r="F584" s="47">
        <f t="shared" si="55"/>
        <v>105974</v>
      </c>
      <c r="G584" s="47">
        <f t="shared" si="55"/>
        <v>22251454470</v>
      </c>
      <c r="H584" s="47">
        <f t="shared" si="55"/>
        <v>586</v>
      </c>
      <c r="I584" s="47">
        <f t="shared" si="55"/>
        <v>393071500</v>
      </c>
      <c r="J584" s="47">
        <f t="shared" si="55"/>
        <v>1211</v>
      </c>
      <c r="K584" s="47">
        <f t="shared" si="55"/>
        <v>14010936</v>
      </c>
      <c r="L584" s="47">
        <f t="shared" si="55"/>
        <v>6591</v>
      </c>
      <c r="M584" s="47">
        <f t="shared" si="55"/>
        <v>7780333927</v>
      </c>
      <c r="N584" s="47">
        <f t="shared" si="55"/>
        <v>5961</v>
      </c>
      <c r="O584" s="47">
        <f t="shared" si="55"/>
        <v>5927430927</v>
      </c>
      <c r="P584" s="47">
        <f t="shared" si="55"/>
        <v>284</v>
      </c>
      <c r="Q584" s="47">
        <f t="shared" si="55"/>
        <v>1081655000</v>
      </c>
      <c r="R584" s="47">
        <f t="shared" si="55"/>
        <v>346</v>
      </c>
      <c r="S584" s="47">
        <f t="shared" si="55"/>
        <v>771248000</v>
      </c>
      <c r="T584" s="47"/>
      <c r="U584" s="47">
        <f t="shared" si="56"/>
        <v>30961199032</v>
      </c>
      <c r="W584" s="47">
        <f t="shared" si="57"/>
        <v>106560</v>
      </c>
      <c r="X584" s="47">
        <f t="shared" si="57"/>
        <v>23415773970</v>
      </c>
      <c r="Y584" s="43">
        <f t="shared" si="58"/>
        <v>212504.93590465465</v>
      </c>
    </row>
    <row r="585" spans="3:25">
      <c r="C585" s="46" t="s">
        <v>18</v>
      </c>
      <c r="D585" s="47">
        <f t="shared" si="55"/>
        <v>13315</v>
      </c>
      <c r="E585" s="47">
        <f t="shared" si="55"/>
        <v>1083251936</v>
      </c>
      <c r="F585" s="47">
        <f t="shared" si="55"/>
        <v>207597</v>
      </c>
      <c r="G585" s="47">
        <f t="shared" si="55"/>
        <v>31867355624</v>
      </c>
      <c r="H585" s="47">
        <f t="shared" si="55"/>
        <v>389</v>
      </c>
      <c r="I585" s="47">
        <f t="shared" si="55"/>
        <v>106016600</v>
      </c>
      <c r="J585" s="47">
        <f t="shared" si="55"/>
        <v>1015</v>
      </c>
      <c r="K585" s="47">
        <f t="shared" si="55"/>
        <v>17138000</v>
      </c>
      <c r="L585" s="47">
        <f t="shared" si="55"/>
        <v>11062</v>
      </c>
      <c r="M585" s="47">
        <f t="shared" si="55"/>
        <v>15358587400</v>
      </c>
      <c r="N585" s="47">
        <f t="shared" si="55"/>
        <v>8096</v>
      </c>
      <c r="O585" s="47">
        <f t="shared" si="55"/>
        <v>6821770400</v>
      </c>
      <c r="P585" s="47">
        <f t="shared" si="55"/>
        <v>2130</v>
      </c>
      <c r="Q585" s="47">
        <f t="shared" si="55"/>
        <v>6213478100</v>
      </c>
      <c r="R585" s="47">
        <f t="shared" si="55"/>
        <v>836</v>
      </c>
      <c r="S585" s="47">
        <f t="shared" si="55"/>
        <v>2323338900</v>
      </c>
      <c r="T585" s="47"/>
      <c r="U585" s="47">
        <f t="shared" si="56"/>
        <v>48432349560</v>
      </c>
      <c r="W585" s="47">
        <f t="shared" si="57"/>
        <v>207986</v>
      </c>
      <c r="X585" s="47">
        <f t="shared" si="57"/>
        <v>34296711124</v>
      </c>
      <c r="Y585" s="43">
        <f t="shared" si="58"/>
        <v>153728.48280172705</v>
      </c>
    </row>
    <row r="586" spans="3:25">
      <c r="C586" s="46" t="s">
        <v>19</v>
      </c>
      <c r="D586" s="47">
        <f t="shared" si="55"/>
        <v>16012</v>
      </c>
      <c r="E586" s="47">
        <f t="shared" si="55"/>
        <v>1939743990</v>
      </c>
      <c r="F586" s="47">
        <f t="shared" si="55"/>
        <v>204936</v>
      </c>
      <c r="G586" s="47">
        <f t="shared" si="55"/>
        <v>75608544008</v>
      </c>
      <c r="H586" s="47">
        <f t="shared" si="55"/>
        <v>1524</v>
      </c>
      <c r="I586" s="47">
        <f t="shared" si="55"/>
        <v>664923650</v>
      </c>
      <c r="J586" s="47">
        <f t="shared" si="55"/>
        <v>2694</v>
      </c>
      <c r="K586" s="47">
        <f t="shared" si="55"/>
        <v>29084900</v>
      </c>
      <c r="L586" s="47">
        <f t="shared" si="55"/>
        <v>10444</v>
      </c>
      <c r="M586" s="47">
        <f t="shared" si="55"/>
        <v>13199698820</v>
      </c>
      <c r="N586" s="47">
        <f t="shared" si="55"/>
        <v>8957</v>
      </c>
      <c r="O586" s="47">
        <f t="shared" si="55"/>
        <v>10347047120</v>
      </c>
      <c r="P586" s="47">
        <f t="shared" si="55"/>
        <v>505</v>
      </c>
      <c r="Q586" s="47">
        <f t="shared" si="55"/>
        <v>1041586900</v>
      </c>
      <c r="R586" s="47">
        <f t="shared" si="55"/>
        <v>982</v>
      </c>
      <c r="S586" s="47">
        <f t="shared" si="55"/>
        <v>1811064800</v>
      </c>
      <c r="T586" s="47"/>
      <c r="U586" s="47">
        <f t="shared" si="56"/>
        <v>91441995368</v>
      </c>
      <c r="W586" s="47">
        <f t="shared" si="57"/>
        <v>206460</v>
      </c>
      <c r="X586" s="47">
        <f t="shared" si="57"/>
        <v>78084532458</v>
      </c>
      <c r="Y586" s="43">
        <f t="shared" si="58"/>
        <v>369434.60068778455</v>
      </c>
    </row>
    <row r="587" spans="3:25">
      <c r="C587" s="46" t="s">
        <v>20</v>
      </c>
      <c r="D587" s="47">
        <f t="shared" si="55"/>
        <v>10192</v>
      </c>
      <c r="E587" s="47">
        <f t="shared" si="55"/>
        <v>1373940350</v>
      </c>
      <c r="F587" s="47">
        <f t="shared" si="55"/>
        <v>148757</v>
      </c>
      <c r="G587" s="47">
        <f t="shared" si="55"/>
        <v>58547857080</v>
      </c>
      <c r="H587" s="47">
        <f t="shared" si="55"/>
        <v>745</v>
      </c>
      <c r="I587" s="47">
        <f t="shared" si="55"/>
        <v>709356800</v>
      </c>
      <c r="J587" s="47">
        <f t="shared" si="55"/>
        <v>1401</v>
      </c>
      <c r="K587" s="47">
        <f t="shared" si="55"/>
        <v>13465748</v>
      </c>
      <c r="L587" s="47">
        <f t="shared" si="55"/>
        <v>8143</v>
      </c>
      <c r="M587" s="47">
        <f t="shared" si="55"/>
        <v>16055983561</v>
      </c>
      <c r="N587" s="47">
        <f t="shared" si="55"/>
        <v>6742</v>
      </c>
      <c r="O587" s="47">
        <f t="shared" si="55"/>
        <v>11350378461</v>
      </c>
      <c r="P587" s="47">
        <f t="shared" si="55"/>
        <v>1016</v>
      </c>
      <c r="Q587" s="47">
        <f t="shared" si="55"/>
        <v>2711381200</v>
      </c>
      <c r="R587" s="47">
        <f t="shared" si="55"/>
        <v>385</v>
      </c>
      <c r="S587" s="47">
        <f t="shared" si="55"/>
        <v>1994223900</v>
      </c>
      <c r="T587" s="47"/>
      <c r="U587" s="47">
        <f t="shared" si="56"/>
        <v>76700603539</v>
      </c>
      <c r="W587" s="47">
        <f t="shared" si="57"/>
        <v>149502</v>
      </c>
      <c r="X587" s="47">
        <f t="shared" si="57"/>
        <v>61251437780</v>
      </c>
      <c r="Y587" s="43">
        <f t="shared" si="58"/>
        <v>396364.02108332998</v>
      </c>
    </row>
    <row r="588" spans="3:25">
      <c r="C588" s="46" t="s">
        <v>21</v>
      </c>
      <c r="D588" s="47">
        <f t="shared" si="55"/>
        <v>32964</v>
      </c>
      <c r="E588" s="47">
        <f t="shared" si="55"/>
        <v>2289778690</v>
      </c>
      <c r="F588" s="47">
        <f t="shared" si="55"/>
        <v>235262</v>
      </c>
      <c r="G588" s="47">
        <f t="shared" si="55"/>
        <v>58787961305</v>
      </c>
      <c r="H588" s="47">
        <f t="shared" si="55"/>
        <v>241</v>
      </c>
      <c r="I588" s="47">
        <f t="shared" si="55"/>
        <v>83209800</v>
      </c>
      <c r="J588" s="47">
        <f t="shared" si="55"/>
        <v>470</v>
      </c>
      <c r="K588" s="47">
        <f t="shared" si="55"/>
        <v>5221866</v>
      </c>
      <c r="L588" s="47">
        <f t="shared" si="55"/>
        <v>7343</v>
      </c>
      <c r="M588" s="47">
        <f t="shared" si="55"/>
        <v>7253293652</v>
      </c>
      <c r="N588" s="47">
        <f t="shared" si="55"/>
        <v>6594</v>
      </c>
      <c r="O588" s="47">
        <f t="shared" si="55"/>
        <v>5448039652</v>
      </c>
      <c r="P588" s="47">
        <f t="shared" si="55"/>
        <v>397</v>
      </c>
      <c r="Q588" s="47">
        <f t="shared" si="55"/>
        <v>780857300</v>
      </c>
      <c r="R588" s="47">
        <f t="shared" si="55"/>
        <v>352</v>
      </c>
      <c r="S588" s="47">
        <f t="shared" si="55"/>
        <v>1024396700</v>
      </c>
      <c r="T588" s="47"/>
      <c r="U588" s="47">
        <f t="shared" si="56"/>
        <v>68419465313</v>
      </c>
      <c r="W588" s="47">
        <f t="shared" si="57"/>
        <v>235503</v>
      </c>
      <c r="X588" s="47">
        <f t="shared" si="57"/>
        <v>59895567805</v>
      </c>
      <c r="Y588" s="43">
        <f t="shared" si="58"/>
        <v>249980.5569568116</v>
      </c>
    </row>
    <row r="589" spans="3:25">
      <c r="C589" s="46" t="s">
        <v>22</v>
      </c>
      <c r="D589" s="47">
        <f t="shared" si="55"/>
        <v>5772</v>
      </c>
      <c r="E589" s="47">
        <f t="shared" si="55"/>
        <v>525540613</v>
      </c>
      <c r="F589" s="47">
        <f t="shared" si="55"/>
        <v>106956</v>
      </c>
      <c r="G589" s="47">
        <f t="shared" si="55"/>
        <v>21865453608</v>
      </c>
      <c r="H589" s="47">
        <f t="shared" si="55"/>
        <v>143</v>
      </c>
      <c r="I589" s="47">
        <f t="shared" si="55"/>
        <v>33180800</v>
      </c>
      <c r="J589" s="47">
        <f t="shared" si="55"/>
        <v>319</v>
      </c>
      <c r="K589" s="47">
        <f t="shared" si="55"/>
        <v>945274</v>
      </c>
      <c r="L589" s="47">
        <f t="shared" si="55"/>
        <v>10641</v>
      </c>
      <c r="M589" s="47">
        <f t="shared" si="55"/>
        <v>7835115670</v>
      </c>
      <c r="N589" s="47">
        <f t="shared" si="55"/>
        <v>8038</v>
      </c>
      <c r="O589" s="47">
        <f t="shared" si="55"/>
        <v>4881582230</v>
      </c>
      <c r="P589" s="47">
        <f t="shared" si="55"/>
        <v>1517</v>
      </c>
      <c r="Q589" s="47">
        <f t="shared" si="55"/>
        <v>1960080090</v>
      </c>
      <c r="R589" s="47">
        <f t="shared" si="55"/>
        <v>1086</v>
      </c>
      <c r="S589" s="47">
        <f>SUMIF($C$2:$C$567,$C589,S$2:S$567)</f>
        <v>993453350</v>
      </c>
      <c r="T589" s="47"/>
      <c r="U589" s="47">
        <f t="shared" si="56"/>
        <v>30260235965</v>
      </c>
      <c r="W589" s="47">
        <f t="shared" si="57"/>
        <v>107099</v>
      </c>
      <c r="X589" s="47">
        <f t="shared" si="57"/>
        <v>22892087758</v>
      </c>
      <c r="Y589" s="43">
        <f t="shared" si="58"/>
        <v>204470.95125071195</v>
      </c>
    </row>
    <row r="590" spans="3:25">
      <c r="C590" s="46" t="s">
        <v>23</v>
      </c>
      <c r="D590" s="47">
        <f t="shared" ref="D590:S594" si="59">SUMIF($C$2:$C$567,$C590,D$2:D$567)</f>
        <v>4334</v>
      </c>
      <c r="E590" s="47">
        <f t="shared" si="59"/>
        <v>108103810</v>
      </c>
      <c r="F590" s="47">
        <f t="shared" si="59"/>
        <v>20047</v>
      </c>
      <c r="G590" s="47">
        <f t="shared" si="59"/>
        <v>2821821150</v>
      </c>
      <c r="H590" s="47">
        <f t="shared" si="59"/>
        <v>1846</v>
      </c>
      <c r="I590" s="47">
        <f t="shared" si="59"/>
        <v>373618200</v>
      </c>
      <c r="J590" s="47">
        <f t="shared" si="59"/>
        <v>4168</v>
      </c>
      <c r="K590" s="47">
        <f t="shared" si="59"/>
        <v>55997500</v>
      </c>
      <c r="L590" s="47">
        <f t="shared" si="59"/>
        <v>1217</v>
      </c>
      <c r="M590" s="47">
        <f t="shared" si="59"/>
        <v>965102156</v>
      </c>
      <c r="N590" s="47">
        <f t="shared" si="59"/>
        <v>1109</v>
      </c>
      <c r="O590" s="47">
        <f t="shared" si="59"/>
        <v>476959790</v>
      </c>
      <c r="P590" s="47">
        <f t="shared" si="59"/>
        <v>48</v>
      </c>
      <c r="Q590" s="47">
        <f t="shared" si="59"/>
        <v>416794366</v>
      </c>
      <c r="R590" s="47">
        <f t="shared" si="59"/>
        <v>60</v>
      </c>
      <c r="S590" s="47">
        <f t="shared" si="59"/>
        <v>71348000</v>
      </c>
      <c r="T590" s="47"/>
      <c r="U590" s="47">
        <f t="shared" si="56"/>
        <v>4324642816</v>
      </c>
      <c r="W590" s="47">
        <f t="shared" si="57"/>
        <v>21893</v>
      </c>
      <c r="X590" s="47">
        <f t="shared" si="57"/>
        <v>3266787350</v>
      </c>
      <c r="Y590" s="43">
        <f t="shared" si="58"/>
        <v>145957.12556524915</v>
      </c>
    </row>
    <row r="591" spans="3:25">
      <c r="C591" s="46" t="s">
        <v>24</v>
      </c>
      <c r="D591" s="47">
        <f t="shared" si="59"/>
        <v>6093</v>
      </c>
      <c r="E591" s="47">
        <f t="shared" si="59"/>
        <v>730648150</v>
      </c>
      <c r="F591" s="47">
        <f t="shared" si="59"/>
        <v>99952</v>
      </c>
      <c r="G591" s="47">
        <f t="shared" si="59"/>
        <v>42377100238</v>
      </c>
      <c r="H591" s="47">
        <f t="shared" si="59"/>
        <v>897</v>
      </c>
      <c r="I591" s="47">
        <f t="shared" si="59"/>
        <v>1068586750</v>
      </c>
      <c r="J591" s="47">
        <f t="shared" si="59"/>
        <v>1644</v>
      </c>
      <c r="K591" s="47">
        <f t="shared" si="59"/>
        <v>16048720</v>
      </c>
      <c r="L591" s="47">
        <f t="shared" si="59"/>
        <v>4633</v>
      </c>
      <c r="M591" s="47">
        <f t="shared" si="59"/>
        <v>10418353678</v>
      </c>
      <c r="N591" s="47">
        <f t="shared" si="59"/>
        <v>3739</v>
      </c>
      <c r="O591" s="47">
        <f t="shared" si="59"/>
        <v>7499102496</v>
      </c>
      <c r="P591" s="47">
        <f t="shared" si="59"/>
        <v>652</v>
      </c>
      <c r="Q591" s="47">
        <f t="shared" si="59"/>
        <v>2173096400</v>
      </c>
      <c r="R591" s="47">
        <f t="shared" si="59"/>
        <v>242</v>
      </c>
      <c r="S591" s="47">
        <f t="shared" si="59"/>
        <v>746154782</v>
      </c>
      <c r="T591" s="47"/>
      <c r="U591" s="47">
        <f t="shared" si="56"/>
        <v>54610737536</v>
      </c>
      <c r="W591" s="47">
        <f t="shared" si="57"/>
        <v>100849</v>
      </c>
      <c r="X591" s="47">
        <f t="shared" si="57"/>
        <v>44191841770</v>
      </c>
      <c r="Y591" s="43">
        <f t="shared" si="58"/>
        <v>430799.38311733381</v>
      </c>
    </row>
    <row r="592" spans="3:25">
      <c r="C592" s="46" t="s">
        <v>25</v>
      </c>
      <c r="D592" s="47">
        <f t="shared" si="59"/>
        <v>9394</v>
      </c>
      <c r="E592" s="47">
        <f t="shared" si="59"/>
        <v>429601226</v>
      </c>
      <c r="F592" s="47">
        <f t="shared" si="59"/>
        <v>54937</v>
      </c>
      <c r="G592" s="47">
        <f t="shared" si="59"/>
        <v>12411226199</v>
      </c>
      <c r="H592" s="47">
        <f t="shared" si="59"/>
        <v>1797</v>
      </c>
      <c r="I592" s="47">
        <f t="shared" si="59"/>
        <v>585799800</v>
      </c>
      <c r="J592" s="47">
        <f t="shared" si="59"/>
        <v>3581</v>
      </c>
      <c r="K592" s="47">
        <f t="shared" si="59"/>
        <v>28232791</v>
      </c>
      <c r="L592" s="47">
        <f t="shared" si="59"/>
        <v>2576</v>
      </c>
      <c r="M592" s="47">
        <f t="shared" si="59"/>
        <v>1620670982</v>
      </c>
      <c r="N592" s="47">
        <f t="shared" si="59"/>
        <v>2298</v>
      </c>
      <c r="O592" s="47">
        <f t="shared" si="59"/>
        <v>1354639782</v>
      </c>
      <c r="P592" s="47">
        <f t="shared" si="59"/>
        <v>192</v>
      </c>
      <c r="Q592" s="47">
        <f t="shared" si="59"/>
        <v>176684700</v>
      </c>
      <c r="R592" s="47">
        <f t="shared" si="59"/>
        <v>86</v>
      </c>
      <c r="S592" s="47">
        <f t="shared" si="59"/>
        <v>89346500</v>
      </c>
      <c r="T592" s="47"/>
      <c r="U592" s="47">
        <f t="shared" si="56"/>
        <v>15075530998</v>
      </c>
      <c r="W592" s="47">
        <f t="shared" si="57"/>
        <v>56734</v>
      </c>
      <c r="X592" s="47">
        <f t="shared" si="57"/>
        <v>13086372499</v>
      </c>
      <c r="Y592" s="43">
        <f t="shared" si="58"/>
        <v>229087.0729897416</v>
      </c>
    </row>
    <row r="593" spans="3:25">
      <c r="C593" s="46" t="s">
        <v>26</v>
      </c>
      <c r="D593" s="47">
        <f t="shared" si="59"/>
        <v>4420</v>
      </c>
      <c r="E593" s="47">
        <f t="shared" si="59"/>
        <v>244745150</v>
      </c>
      <c r="F593" s="47">
        <f t="shared" si="59"/>
        <v>128224</v>
      </c>
      <c r="G593" s="47">
        <f t="shared" si="59"/>
        <v>17510496240</v>
      </c>
      <c r="H593" s="47">
        <f t="shared" si="59"/>
        <v>4</v>
      </c>
      <c r="I593" s="47">
        <f t="shared" si="59"/>
        <v>1098900</v>
      </c>
      <c r="J593" s="47">
        <f t="shared" si="59"/>
        <v>9</v>
      </c>
      <c r="K593" s="47">
        <f t="shared" si="59"/>
        <v>157520</v>
      </c>
      <c r="L593" s="47">
        <f t="shared" si="59"/>
        <v>10295</v>
      </c>
      <c r="M593" s="47">
        <f t="shared" si="59"/>
        <v>6189125615</v>
      </c>
      <c r="N593" s="47">
        <f t="shared" si="59"/>
        <v>7613</v>
      </c>
      <c r="O593" s="47">
        <f t="shared" si="59"/>
        <v>2953504485</v>
      </c>
      <c r="P593" s="47">
        <f t="shared" si="59"/>
        <v>1527</v>
      </c>
      <c r="Q593" s="47">
        <f t="shared" si="59"/>
        <v>2623531530</v>
      </c>
      <c r="R593" s="47">
        <f t="shared" si="59"/>
        <v>1155</v>
      </c>
      <c r="S593" s="47">
        <f t="shared" si="59"/>
        <v>612089600</v>
      </c>
      <c r="T593" s="47"/>
      <c r="U593" s="47">
        <f t="shared" si="56"/>
        <v>23945623425</v>
      </c>
      <c r="W593" s="47">
        <f t="shared" si="57"/>
        <v>128228</v>
      </c>
      <c r="X593" s="47">
        <f t="shared" si="57"/>
        <v>18123684740</v>
      </c>
      <c r="Y593" s="43">
        <f t="shared" si="58"/>
        <v>136566.07870355929</v>
      </c>
    </row>
    <row r="594" spans="3:25">
      <c r="C594" s="46" t="s">
        <v>27</v>
      </c>
      <c r="D594" s="47">
        <f t="shared" si="59"/>
        <v>4330</v>
      </c>
      <c r="E594" s="47">
        <f t="shared" si="59"/>
        <v>270791087</v>
      </c>
      <c r="F594" s="47">
        <f t="shared" si="59"/>
        <v>33734</v>
      </c>
      <c r="G594" s="47">
        <f t="shared" si="59"/>
        <v>7619896271</v>
      </c>
      <c r="H594" s="47">
        <f t="shared" si="59"/>
        <v>1936</v>
      </c>
      <c r="I594" s="47">
        <f t="shared" si="59"/>
        <v>600590000</v>
      </c>
      <c r="J594" s="47">
        <f t="shared" si="59"/>
        <v>4004</v>
      </c>
      <c r="K594" s="47">
        <f t="shared" si="59"/>
        <v>37604433</v>
      </c>
      <c r="L594" s="47">
        <f t="shared" si="59"/>
        <v>2167</v>
      </c>
      <c r="M594" s="47">
        <f t="shared" si="59"/>
        <v>1846054684</v>
      </c>
      <c r="N594" s="47">
        <f t="shared" si="59"/>
        <v>1825</v>
      </c>
      <c r="O594" s="47">
        <f t="shared" si="59"/>
        <v>1050424784</v>
      </c>
      <c r="P594" s="47">
        <f t="shared" si="59"/>
        <v>205</v>
      </c>
      <c r="Q594" s="47">
        <f t="shared" si="59"/>
        <v>620088900</v>
      </c>
      <c r="R594" s="47">
        <f t="shared" si="59"/>
        <v>137</v>
      </c>
      <c r="S594" s="47">
        <f t="shared" si="59"/>
        <v>175541000</v>
      </c>
      <c r="T594" s="47"/>
      <c r="U594" s="47">
        <f t="shared" si="56"/>
        <v>10374936475</v>
      </c>
      <c r="W594" s="47">
        <f t="shared" si="57"/>
        <v>35670</v>
      </c>
      <c r="X594" s="47">
        <f t="shared" si="57"/>
        <v>8396027271</v>
      </c>
      <c r="Y594" s="43">
        <f t="shared" si="58"/>
        <v>230459.38522567984</v>
      </c>
    </row>
  </sheetData>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H71"/>
  <sheetViews>
    <sheetView topLeftCell="A69" workbookViewId="0">
      <selection activeCell="D69" sqref="D69"/>
    </sheetView>
  </sheetViews>
  <sheetFormatPr defaultColWidth="9.109375" defaultRowHeight="14.4"/>
  <cols>
    <col min="1" max="16384" width="9.109375" style="581"/>
  </cols>
  <sheetData>
    <row r="1" spans="1:8">
      <c r="A1" s="581" t="s">
        <v>1513</v>
      </c>
    </row>
    <row r="2" spans="1:8">
      <c r="A2" s="581" t="s">
        <v>1591</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1.5339</v>
      </c>
      <c r="D7" s="581">
        <v>0.28999999999999998</v>
      </c>
      <c r="E7" s="581">
        <v>12.407</v>
      </c>
      <c r="F7" s="581">
        <v>0.67949999999999999</v>
      </c>
      <c r="G7" s="581">
        <v>1.2786</v>
      </c>
      <c r="H7" s="581">
        <v>1.1478999999999999</v>
      </c>
    </row>
    <row r="8" spans="1:8">
      <c r="A8" s="581">
        <v>2</v>
      </c>
      <c r="B8" s="581" t="s">
        <v>1521</v>
      </c>
      <c r="C8" s="581">
        <v>1.5190999999999999</v>
      </c>
      <c r="D8" s="581">
        <v>0.43580000000000002</v>
      </c>
      <c r="E8" s="581">
        <v>19.1492</v>
      </c>
      <c r="F8" s="581">
        <v>0.96679999999999999</v>
      </c>
      <c r="G8" s="581">
        <v>1.1984999999999999</v>
      </c>
      <c r="H8" s="581">
        <v>1.1140000000000001</v>
      </c>
    </row>
    <row r="9" spans="1:8">
      <c r="A9" s="581">
        <v>3</v>
      </c>
      <c r="B9" s="581" t="s">
        <v>1522</v>
      </c>
      <c r="C9" s="581">
        <v>1.4525999999999999</v>
      </c>
      <c r="D9" s="581">
        <v>0.21609999999999999</v>
      </c>
      <c r="E9" s="581">
        <v>5.4028999999999998</v>
      </c>
      <c r="F9" s="581">
        <v>0.88800000000000001</v>
      </c>
      <c r="G9" s="581">
        <v>1.3568</v>
      </c>
      <c r="H9" s="581">
        <v>1.2991999999999999</v>
      </c>
    </row>
    <row r="10" spans="1:8">
      <c r="A10" s="581">
        <v>4</v>
      </c>
      <c r="B10" s="581" t="s">
        <v>1523</v>
      </c>
      <c r="C10" s="581">
        <v>1.575</v>
      </c>
      <c r="D10" s="581">
        <v>0.16059999999999999</v>
      </c>
      <c r="E10" s="581">
        <v>2.7965</v>
      </c>
      <c r="F10" s="581">
        <v>0.83409999999999995</v>
      </c>
      <c r="G10" s="581">
        <v>1.8073999999999999</v>
      </c>
      <c r="H10" s="581">
        <v>2.0727000000000002</v>
      </c>
    </row>
    <row r="11" spans="1:8">
      <c r="A11" s="581">
        <v>5</v>
      </c>
      <c r="B11" s="581" t="s">
        <v>1524</v>
      </c>
      <c r="C11" s="581">
        <v>1</v>
      </c>
      <c r="D11" s="581">
        <v>0</v>
      </c>
      <c r="E11" s="581">
        <v>0</v>
      </c>
      <c r="F11" s="581">
        <v>0</v>
      </c>
      <c r="G11" s="581">
        <v>0</v>
      </c>
      <c r="H11" s="581">
        <v>0</v>
      </c>
    </row>
    <row r="12" spans="1:8">
      <c r="A12" s="581">
        <v>6</v>
      </c>
      <c r="B12" s="581" t="s">
        <v>1525</v>
      </c>
      <c r="C12" s="581">
        <v>1.2089000000000001</v>
      </c>
      <c r="D12" s="581">
        <v>8.8499999999999995E-2</v>
      </c>
      <c r="E12" s="581">
        <v>1.1835</v>
      </c>
      <c r="F12" s="581">
        <v>0.69379999999999997</v>
      </c>
      <c r="G12" s="581">
        <v>1.5722</v>
      </c>
      <c r="H12" s="581">
        <v>2.2524999999999999</v>
      </c>
    </row>
    <row r="13" spans="1:8">
      <c r="A13" s="581">
        <v>7</v>
      </c>
      <c r="B13" s="581" t="s">
        <v>1526</v>
      </c>
      <c r="C13" s="581">
        <v>1.6906000000000001</v>
      </c>
      <c r="D13" s="581">
        <v>0.24909999999999999</v>
      </c>
      <c r="E13" s="581">
        <v>5.1134000000000004</v>
      </c>
      <c r="F13" s="581">
        <v>0.87429999999999997</v>
      </c>
      <c r="G13" s="581">
        <v>1.5504</v>
      </c>
      <c r="H13" s="581">
        <v>1.6674</v>
      </c>
    </row>
    <row r="14" spans="1:8">
      <c r="A14" s="581">
        <v>8</v>
      </c>
      <c r="B14" s="581" t="s">
        <v>1527</v>
      </c>
      <c r="C14" s="581">
        <v>1.6652</v>
      </c>
      <c r="D14" s="581">
        <v>0.21010000000000001</v>
      </c>
      <c r="E14" s="581">
        <v>5.0627000000000004</v>
      </c>
      <c r="F14" s="581">
        <v>0.64439999999999997</v>
      </c>
      <c r="G14" s="581">
        <v>1.7123999999999999</v>
      </c>
      <c r="H14" s="581">
        <v>1.6185</v>
      </c>
    </row>
    <row r="15" spans="1:8">
      <c r="A15" s="581">
        <v>9</v>
      </c>
      <c r="B15" s="581" t="s">
        <v>1528</v>
      </c>
      <c r="C15" s="581">
        <v>1.7203999999999999</v>
      </c>
      <c r="D15" s="581">
        <v>0.24399999999999999</v>
      </c>
      <c r="E15" s="581">
        <v>4.7891000000000004</v>
      </c>
      <c r="F15" s="581">
        <v>0.7702</v>
      </c>
      <c r="G15" s="581">
        <v>1.5943000000000001</v>
      </c>
      <c r="H15" s="581">
        <v>1.6758</v>
      </c>
    </row>
    <row r="16" spans="1:8">
      <c r="A16" s="581">
        <v>10</v>
      </c>
      <c r="B16" s="581" t="s">
        <v>1529</v>
      </c>
      <c r="C16" s="581">
        <v>1.66</v>
      </c>
      <c r="D16" s="581">
        <v>0.1318</v>
      </c>
      <c r="E16" s="581">
        <v>2.4630999999999998</v>
      </c>
      <c r="F16" s="581">
        <v>0.55649999999999999</v>
      </c>
      <c r="G16" s="581">
        <v>2.2873000000000001</v>
      </c>
      <c r="H16" s="581">
        <v>2.6053000000000002</v>
      </c>
    </row>
    <row r="17" spans="1:8">
      <c r="A17" s="581">
        <v>11</v>
      </c>
      <c r="B17" s="581" t="s">
        <v>1530</v>
      </c>
      <c r="C17" s="581">
        <v>1.748</v>
      </c>
      <c r="D17" s="581">
        <v>0.17319999999999999</v>
      </c>
      <c r="E17" s="581">
        <v>3.456</v>
      </c>
      <c r="F17" s="581">
        <v>0.76970000000000005</v>
      </c>
      <c r="G17" s="581">
        <v>1.9547000000000001</v>
      </c>
      <c r="H17" s="581">
        <v>2.0411000000000001</v>
      </c>
    </row>
    <row r="18" spans="1:8">
      <c r="A18" s="581">
        <v>12</v>
      </c>
      <c r="B18" s="581" t="s">
        <v>1531</v>
      </c>
      <c r="C18" s="581">
        <v>1.6736</v>
      </c>
      <c r="D18" s="581">
        <v>0.2034</v>
      </c>
      <c r="E18" s="581">
        <v>3.6141000000000001</v>
      </c>
      <c r="F18" s="581">
        <v>0.71040000000000003</v>
      </c>
      <c r="G18" s="581">
        <v>1.6657999999999999</v>
      </c>
      <c r="H18" s="581">
        <v>1.8777999999999999</v>
      </c>
    </row>
    <row r="19" spans="1:8">
      <c r="A19" s="581">
        <v>13</v>
      </c>
      <c r="B19" s="581" t="s">
        <v>1532</v>
      </c>
      <c r="C19" s="581">
        <v>1.6526000000000001</v>
      </c>
      <c r="D19" s="581">
        <v>0.1822</v>
      </c>
      <c r="E19" s="581">
        <v>2.8563000000000001</v>
      </c>
      <c r="F19" s="581">
        <v>0.86550000000000005</v>
      </c>
      <c r="G19" s="581">
        <v>1.8273999999999999</v>
      </c>
      <c r="H19" s="581">
        <v>2.3037999999999998</v>
      </c>
    </row>
    <row r="20" spans="1:8">
      <c r="A20" s="581">
        <v>14</v>
      </c>
      <c r="B20" s="581" t="s">
        <v>1533</v>
      </c>
      <c r="C20" s="581">
        <v>1.6151</v>
      </c>
      <c r="D20" s="581">
        <v>0.1419</v>
      </c>
      <c r="E20" s="581">
        <v>2.6829000000000001</v>
      </c>
      <c r="F20" s="581">
        <v>0.75109999999999999</v>
      </c>
      <c r="G20" s="581">
        <v>2.0653000000000001</v>
      </c>
      <c r="H20" s="581">
        <v>2.1947000000000001</v>
      </c>
    </row>
    <row r="21" spans="1:8">
      <c r="A21" s="581">
        <v>15</v>
      </c>
      <c r="B21" s="581" t="s">
        <v>1534</v>
      </c>
      <c r="C21" s="581">
        <v>1.3911</v>
      </c>
      <c r="D21" s="581">
        <v>0.10589999999999999</v>
      </c>
      <c r="E21" s="581">
        <v>1.9132</v>
      </c>
      <c r="F21" s="581">
        <v>0.4299</v>
      </c>
      <c r="G21" s="581">
        <v>1.7981</v>
      </c>
      <c r="H21" s="581">
        <v>1.9362999999999999</v>
      </c>
    </row>
    <row r="22" spans="1:8">
      <c r="A22" s="581">
        <v>16</v>
      </c>
      <c r="B22" s="581" t="s">
        <v>1535</v>
      </c>
      <c r="C22" s="581">
        <v>1.5646</v>
      </c>
      <c r="D22" s="581">
        <v>0.21290000000000001</v>
      </c>
      <c r="E22" s="581">
        <v>4.2538</v>
      </c>
      <c r="F22" s="581">
        <v>0.66279999999999994</v>
      </c>
      <c r="G22" s="581">
        <v>1.5399</v>
      </c>
      <c r="H22" s="581">
        <v>1.6226</v>
      </c>
    </row>
    <row r="23" spans="1:8">
      <c r="A23" s="581">
        <v>17</v>
      </c>
      <c r="B23" s="581" t="s">
        <v>1536</v>
      </c>
      <c r="C23" s="581">
        <v>1.7546999999999999</v>
      </c>
      <c r="D23" s="581">
        <v>0.2011</v>
      </c>
      <c r="E23" s="581">
        <v>4.4878999999999998</v>
      </c>
      <c r="F23" s="581">
        <v>0.79220000000000002</v>
      </c>
      <c r="G23" s="581">
        <v>1.8067</v>
      </c>
      <c r="H23" s="581">
        <v>1.7664</v>
      </c>
    </row>
    <row r="24" spans="1:8">
      <c r="A24" s="581">
        <v>18</v>
      </c>
      <c r="B24" s="581" t="s">
        <v>1537</v>
      </c>
      <c r="C24" s="581">
        <v>1.6033999999999999</v>
      </c>
      <c r="D24" s="581">
        <v>0.16739999999999999</v>
      </c>
      <c r="E24" s="581">
        <v>3.0327000000000002</v>
      </c>
      <c r="F24" s="581">
        <v>0.84309999999999996</v>
      </c>
      <c r="G24" s="581">
        <v>1.7646999999999999</v>
      </c>
      <c r="H24" s="581">
        <v>2.0209000000000001</v>
      </c>
    </row>
    <row r="25" spans="1:8">
      <c r="A25" s="581">
        <v>19</v>
      </c>
      <c r="B25" s="581" t="s">
        <v>1538</v>
      </c>
      <c r="C25" s="581">
        <v>1.5722</v>
      </c>
      <c r="D25" s="581">
        <v>0.1037</v>
      </c>
      <c r="E25" s="581">
        <v>2.1640999999999999</v>
      </c>
      <c r="F25" s="581">
        <v>0.54390000000000005</v>
      </c>
      <c r="G25" s="581">
        <v>2.6514000000000002</v>
      </c>
      <c r="H25" s="581">
        <v>2.5326</v>
      </c>
    </row>
    <row r="26" spans="1:8">
      <c r="A26" s="581">
        <v>20</v>
      </c>
      <c r="B26" s="581" t="s">
        <v>1539</v>
      </c>
      <c r="C26" s="581">
        <v>1.5669</v>
      </c>
      <c r="D26" s="581">
        <v>0.17130000000000001</v>
      </c>
      <c r="E26" s="581">
        <v>3.9163000000000001</v>
      </c>
      <c r="F26" s="581">
        <v>0.5847</v>
      </c>
      <c r="G26" s="581">
        <v>1.6521999999999999</v>
      </c>
      <c r="H26" s="581">
        <v>1.5791999999999999</v>
      </c>
    </row>
    <row r="27" spans="1:8">
      <c r="A27" s="581">
        <v>21</v>
      </c>
      <c r="B27" s="581" t="s">
        <v>1540</v>
      </c>
      <c r="C27" s="581">
        <v>1.5261</v>
      </c>
      <c r="D27" s="581">
        <v>0.18010000000000001</v>
      </c>
      <c r="E27" s="581">
        <v>4.5433000000000003</v>
      </c>
      <c r="F27" s="581">
        <v>0.71409999999999996</v>
      </c>
      <c r="G27" s="581">
        <v>1.6747000000000001</v>
      </c>
      <c r="H27" s="581">
        <v>1.5779000000000001</v>
      </c>
    </row>
    <row r="28" spans="1:8">
      <c r="A28" s="581">
        <v>22</v>
      </c>
      <c r="B28" s="581" t="s">
        <v>1541</v>
      </c>
      <c r="C28" s="581">
        <v>1.6444000000000001</v>
      </c>
      <c r="D28" s="581">
        <v>0.1797</v>
      </c>
      <c r="E28" s="581">
        <v>3.198</v>
      </c>
      <c r="F28" s="581">
        <v>0.68989999999999996</v>
      </c>
      <c r="G28" s="581">
        <v>1.7486999999999999</v>
      </c>
      <c r="H28" s="581">
        <v>1.9772000000000001</v>
      </c>
    </row>
    <row r="29" spans="1:8">
      <c r="A29" s="581">
        <v>23</v>
      </c>
      <c r="B29" s="581" t="s">
        <v>1542</v>
      </c>
      <c r="C29" s="581">
        <v>1.9157999999999999</v>
      </c>
      <c r="D29" s="581">
        <v>0.24210000000000001</v>
      </c>
      <c r="E29" s="581">
        <v>4.9786999999999999</v>
      </c>
      <c r="F29" s="581">
        <v>0.85529999999999995</v>
      </c>
      <c r="G29" s="581">
        <v>1.9011</v>
      </c>
      <c r="H29" s="581">
        <v>1.9883</v>
      </c>
    </row>
    <row r="30" spans="1:8">
      <c r="A30" s="581">
        <v>24</v>
      </c>
      <c r="B30" s="581" t="s">
        <v>1543</v>
      </c>
      <c r="C30" s="581">
        <v>1.145</v>
      </c>
      <c r="D30" s="581">
        <v>4.8599999999999997E-2</v>
      </c>
      <c r="E30" s="581">
        <v>0.67469999999999997</v>
      </c>
      <c r="F30" s="581">
        <v>0.2797</v>
      </c>
      <c r="G30" s="581">
        <v>1.5297000000000001</v>
      </c>
      <c r="H30" s="581">
        <v>2.0175000000000001</v>
      </c>
    </row>
    <row r="31" spans="1:8">
      <c r="A31" s="581">
        <v>25</v>
      </c>
      <c r="B31" s="581" t="s">
        <v>1544</v>
      </c>
      <c r="C31" s="581">
        <v>1.7161</v>
      </c>
      <c r="D31" s="581">
        <v>0.1371</v>
      </c>
      <c r="E31" s="581">
        <v>1.9444999999999999</v>
      </c>
      <c r="F31" s="581">
        <v>0.67710000000000004</v>
      </c>
      <c r="G31" s="581">
        <v>2.2210000000000001</v>
      </c>
      <c r="H31" s="581">
        <v>3.3344999999999998</v>
      </c>
    </row>
    <row r="32" spans="1:8">
      <c r="A32" s="581">
        <v>26</v>
      </c>
      <c r="B32" s="581" t="s">
        <v>1545</v>
      </c>
      <c r="C32" s="581">
        <v>1.8488</v>
      </c>
      <c r="D32" s="581">
        <v>0.14710000000000001</v>
      </c>
      <c r="E32" s="581">
        <v>2.8113999999999999</v>
      </c>
      <c r="F32" s="581">
        <v>0.72240000000000004</v>
      </c>
      <c r="G32" s="581">
        <v>2.4062000000000001</v>
      </c>
      <c r="H32" s="581">
        <v>2.3302</v>
      </c>
    </row>
    <row r="33" spans="1:8">
      <c r="A33" s="581">
        <v>27</v>
      </c>
      <c r="B33" s="581" t="s">
        <v>1546</v>
      </c>
      <c r="C33" s="581">
        <v>1.5887</v>
      </c>
      <c r="D33" s="581">
        <v>0.219</v>
      </c>
      <c r="E33" s="581">
        <v>3.7025000000000001</v>
      </c>
      <c r="F33" s="581">
        <v>0.99519999999999997</v>
      </c>
      <c r="G33" s="581">
        <v>1.5772999999999999</v>
      </c>
      <c r="H33" s="581">
        <v>2.0021</v>
      </c>
    </row>
    <row r="34" spans="1:8">
      <c r="A34" s="581">
        <v>28</v>
      </c>
      <c r="B34" s="581" t="s">
        <v>1547</v>
      </c>
      <c r="C34" s="581">
        <v>1.5641</v>
      </c>
      <c r="D34" s="581">
        <v>0.24610000000000001</v>
      </c>
      <c r="E34" s="581">
        <v>7.9602000000000004</v>
      </c>
      <c r="F34" s="581">
        <v>1.0071000000000001</v>
      </c>
      <c r="G34" s="581">
        <v>1.4103000000000001</v>
      </c>
      <c r="H34" s="581">
        <v>1.2968</v>
      </c>
    </row>
    <row r="35" spans="1:8">
      <c r="A35" s="581">
        <v>29</v>
      </c>
      <c r="B35" s="581" t="s">
        <v>1548</v>
      </c>
      <c r="C35" s="581">
        <v>1.6607000000000001</v>
      </c>
      <c r="D35" s="581">
        <v>0.1812</v>
      </c>
      <c r="E35" s="581">
        <v>3.4664000000000001</v>
      </c>
      <c r="F35" s="581">
        <v>0.67500000000000004</v>
      </c>
      <c r="G35" s="581">
        <v>1.6538999999999999</v>
      </c>
      <c r="H35" s="581">
        <v>1.8753</v>
      </c>
    </row>
    <row r="36" spans="1:8">
      <c r="A36" s="581">
        <v>30</v>
      </c>
      <c r="B36" s="581" t="s">
        <v>1549</v>
      </c>
      <c r="C36" s="581">
        <v>1.7194</v>
      </c>
      <c r="D36" s="581">
        <v>0.13350000000000001</v>
      </c>
      <c r="E36" s="581">
        <v>2.4203000000000001</v>
      </c>
      <c r="F36" s="581">
        <v>0.78120000000000001</v>
      </c>
      <c r="G36" s="581">
        <v>2.7911999999999999</v>
      </c>
      <c r="H36" s="581">
        <v>3.7275</v>
      </c>
    </row>
    <row r="37" spans="1:8">
      <c r="A37" s="581">
        <v>31</v>
      </c>
      <c r="B37" s="581" t="s">
        <v>1550</v>
      </c>
      <c r="C37" s="581">
        <v>1.5699000000000001</v>
      </c>
      <c r="D37" s="581">
        <v>0.14180000000000001</v>
      </c>
      <c r="E37" s="581">
        <v>2.35</v>
      </c>
      <c r="F37" s="581">
        <v>0.67010000000000003</v>
      </c>
      <c r="G37" s="581">
        <v>2.0413000000000001</v>
      </c>
      <c r="H37" s="581">
        <v>3.2277999999999998</v>
      </c>
    </row>
    <row r="38" spans="1:8">
      <c r="A38" s="581">
        <v>32</v>
      </c>
      <c r="B38" s="581" t="s">
        <v>1551</v>
      </c>
      <c r="C38" s="581">
        <v>1.8157000000000001</v>
      </c>
      <c r="D38" s="581">
        <v>0.22770000000000001</v>
      </c>
      <c r="E38" s="581">
        <v>5.0026999999999999</v>
      </c>
      <c r="F38" s="581">
        <v>0.85599999999999998</v>
      </c>
      <c r="G38" s="581">
        <v>1.7921</v>
      </c>
      <c r="H38" s="581">
        <v>1.9139999999999999</v>
      </c>
    </row>
    <row r="39" spans="1:8">
      <c r="A39" s="581">
        <v>33</v>
      </c>
      <c r="B39" s="581" t="s">
        <v>1552</v>
      </c>
      <c r="C39" s="581">
        <v>1.7627999999999999</v>
      </c>
      <c r="D39" s="581">
        <v>0.42830000000000001</v>
      </c>
      <c r="E39" s="581">
        <v>16.192299999999999</v>
      </c>
      <c r="F39" s="581">
        <v>0.93330000000000002</v>
      </c>
      <c r="G39" s="581">
        <v>1.258</v>
      </c>
      <c r="H39" s="581">
        <v>1.1485000000000001</v>
      </c>
    </row>
    <row r="40" spans="1:8">
      <c r="A40" s="581">
        <v>34</v>
      </c>
      <c r="B40" s="581" t="s">
        <v>1553</v>
      </c>
      <c r="C40" s="581">
        <v>1.6938</v>
      </c>
      <c r="D40" s="581">
        <v>0.34129999999999999</v>
      </c>
      <c r="E40" s="581">
        <v>4.9805999999999999</v>
      </c>
      <c r="F40" s="581">
        <v>0.88239999999999996</v>
      </c>
      <c r="G40" s="581">
        <v>1.3745000000000001</v>
      </c>
      <c r="H40" s="581">
        <v>1.8393999999999999</v>
      </c>
    </row>
    <row r="41" spans="1:8">
      <c r="A41" s="581">
        <v>35</v>
      </c>
      <c r="B41" s="581" t="s">
        <v>1554</v>
      </c>
      <c r="C41" s="581">
        <v>1.6062000000000001</v>
      </c>
      <c r="D41" s="581">
        <v>0.2974</v>
      </c>
      <c r="E41" s="581">
        <v>6.3807</v>
      </c>
      <c r="F41" s="581">
        <v>1.0042</v>
      </c>
      <c r="G41" s="581">
        <v>1.3421000000000001</v>
      </c>
      <c r="H41" s="581">
        <v>1.4193</v>
      </c>
    </row>
    <row r="42" spans="1:8">
      <c r="A42" s="581">
        <v>36</v>
      </c>
      <c r="B42" s="581" t="s">
        <v>1555</v>
      </c>
      <c r="C42" s="581">
        <v>1.6138999999999999</v>
      </c>
      <c r="D42" s="581">
        <v>0.31269999999999998</v>
      </c>
      <c r="E42" s="581">
        <v>7.4519000000000002</v>
      </c>
      <c r="F42" s="581">
        <v>1.0629999999999999</v>
      </c>
      <c r="G42" s="581">
        <v>1.3586</v>
      </c>
      <c r="H42" s="581">
        <v>1.4132</v>
      </c>
    </row>
    <row r="43" spans="1:8">
      <c r="A43" s="581">
        <v>37</v>
      </c>
      <c r="B43" s="581" t="s">
        <v>1556</v>
      </c>
      <c r="C43" s="581">
        <v>1.7433000000000001</v>
      </c>
      <c r="D43" s="581">
        <v>0.20780000000000001</v>
      </c>
      <c r="E43" s="581">
        <v>3.8675000000000002</v>
      </c>
      <c r="F43" s="581">
        <v>0.86829999999999996</v>
      </c>
      <c r="G43" s="581">
        <v>1.9248000000000001</v>
      </c>
      <c r="H43" s="581">
        <v>2.4396</v>
      </c>
    </row>
    <row r="44" spans="1:8">
      <c r="A44" s="581">
        <v>38</v>
      </c>
      <c r="B44" s="581" t="s">
        <v>1557</v>
      </c>
      <c r="C44" s="581">
        <v>1.5279</v>
      </c>
      <c r="D44" s="581">
        <v>0.22040000000000001</v>
      </c>
      <c r="E44" s="581">
        <v>6.0934999999999997</v>
      </c>
      <c r="F44" s="581">
        <v>0.91239999999999999</v>
      </c>
      <c r="G44" s="581">
        <v>1.4842</v>
      </c>
      <c r="H44" s="581">
        <v>1.4157999999999999</v>
      </c>
    </row>
    <row r="45" spans="1:8">
      <c r="A45" s="581">
        <v>39</v>
      </c>
      <c r="B45" s="581" t="s">
        <v>1558</v>
      </c>
      <c r="C45" s="581">
        <v>1.4612000000000001</v>
      </c>
      <c r="D45" s="581">
        <v>0.184</v>
      </c>
      <c r="E45" s="581">
        <v>2.5106999999999999</v>
      </c>
      <c r="F45" s="581">
        <v>0.70730000000000004</v>
      </c>
      <c r="G45" s="581">
        <v>1.5095000000000001</v>
      </c>
      <c r="H45" s="581">
        <v>2.3094999999999999</v>
      </c>
    </row>
    <row r="46" spans="1:8">
      <c r="A46" s="581">
        <v>40</v>
      </c>
      <c r="B46" s="581" t="s">
        <v>1559</v>
      </c>
      <c r="C46" s="581">
        <v>1.5427</v>
      </c>
      <c r="D46" s="581">
        <v>0.11360000000000001</v>
      </c>
      <c r="E46" s="581">
        <v>2.0207999999999999</v>
      </c>
      <c r="F46" s="581">
        <v>0.86499999999999999</v>
      </c>
      <c r="G46" s="581">
        <v>2.3140000000000001</v>
      </c>
      <c r="H46" s="581">
        <v>3.2587000000000002</v>
      </c>
    </row>
    <row r="47" spans="1:8">
      <c r="A47" s="581">
        <v>41</v>
      </c>
      <c r="B47" s="581" t="s">
        <v>1560</v>
      </c>
      <c r="C47" s="581">
        <v>1.7121999999999999</v>
      </c>
      <c r="D47" s="581">
        <v>0.1545</v>
      </c>
      <c r="E47" s="581">
        <v>2.9468000000000001</v>
      </c>
      <c r="F47" s="581">
        <v>0.8952</v>
      </c>
      <c r="G47" s="581">
        <v>2.5310000000000001</v>
      </c>
      <c r="H47" s="581">
        <v>4.0227000000000004</v>
      </c>
    </row>
    <row r="48" spans="1:8">
      <c r="A48" s="581">
        <v>42</v>
      </c>
      <c r="B48" s="581" t="s">
        <v>1561</v>
      </c>
      <c r="C48" s="581">
        <v>1.7588999999999999</v>
      </c>
      <c r="D48" s="581">
        <v>0.1739</v>
      </c>
      <c r="E48" s="581">
        <v>3.3475000000000001</v>
      </c>
      <c r="F48" s="581">
        <v>0.93600000000000005</v>
      </c>
      <c r="G48" s="581">
        <v>2.2827999999999999</v>
      </c>
      <c r="H48" s="581">
        <v>2.8824000000000001</v>
      </c>
    </row>
    <row r="49" spans="1:8">
      <c r="A49" s="581">
        <v>43</v>
      </c>
      <c r="B49" s="581" t="s">
        <v>1562</v>
      </c>
      <c r="C49" s="581">
        <v>1.7238</v>
      </c>
      <c r="D49" s="581">
        <v>0.24260000000000001</v>
      </c>
      <c r="E49" s="581">
        <v>4.1741000000000001</v>
      </c>
      <c r="F49" s="581">
        <v>0.95889999999999997</v>
      </c>
      <c r="G49" s="581">
        <v>1.6148</v>
      </c>
      <c r="H49" s="581">
        <v>2.0306999999999999</v>
      </c>
    </row>
    <row r="50" spans="1:8">
      <c r="A50" s="581">
        <v>44</v>
      </c>
      <c r="B50" s="581" t="s">
        <v>1563</v>
      </c>
      <c r="C50" s="581">
        <v>1.5035000000000001</v>
      </c>
      <c r="D50" s="581">
        <v>0.14249999999999999</v>
      </c>
      <c r="E50" s="581">
        <v>2.2976999999999999</v>
      </c>
      <c r="F50" s="581">
        <v>0.97850000000000004</v>
      </c>
      <c r="G50" s="581">
        <v>1.6692</v>
      </c>
      <c r="H50" s="581">
        <v>2.0354000000000001</v>
      </c>
    </row>
    <row r="51" spans="1:8">
      <c r="A51" s="581">
        <v>45</v>
      </c>
      <c r="B51" s="581" t="s">
        <v>1564</v>
      </c>
      <c r="C51" s="581">
        <v>1.9571000000000001</v>
      </c>
      <c r="D51" s="581">
        <v>0.18629999999999999</v>
      </c>
      <c r="E51" s="581">
        <v>2.9790000000000001</v>
      </c>
      <c r="F51" s="581">
        <v>0.98280000000000001</v>
      </c>
      <c r="G51" s="581">
        <v>3.1503000000000001</v>
      </c>
      <c r="H51" s="581">
        <v>4.9836999999999998</v>
      </c>
    </row>
    <row r="52" spans="1:8">
      <c r="A52" s="581">
        <v>46</v>
      </c>
      <c r="B52" s="581" t="s">
        <v>1565</v>
      </c>
      <c r="C52" s="581">
        <v>1.4381999999999999</v>
      </c>
      <c r="D52" s="581">
        <v>7.85E-2</v>
      </c>
      <c r="E52" s="581">
        <v>3.8805000000000001</v>
      </c>
      <c r="F52" s="581">
        <v>0.94969999999999999</v>
      </c>
      <c r="G52" s="581">
        <v>2.6150000000000002</v>
      </c>
      <c r="H52" s="581">
        <v>1.4569000000000001</v>
      </c>
    </row>
    <row r="53" spans="1:8">
      <c r="A53" s="581">
        <v>47</v>
      </c>
      <c r="B53" s="581" t="s">
        <v>1566</v>
      </c>
      <c r="C53" s="581">
        <v>1.5599000000000001</v>
      </c>
      <c r="D53" s="581">
        <v>0.1439</v>
      </c>
      <c r="E53" s="581">
        <v>2.7410000000000001</v>
      </c>
      <c r="F53" s="581">
        <v>0.98060000000000003</v>
      </c>
      <c r="G53" s="581">
        <v>2.0447000000000002</v>
      </c>
      <c r="H53" s="581">
        <v>2.5733999999999999</v>
      </c>
    </row>
    <row r="54" spans="1:8">
      <c r="A54" s="581">
        <v>48</v>
      </c>
      <c r="B54" s="581" t="s">
        <v>1567</v>
      </c>
      <c r="C54" s="581">
        <v>1.6096999999999999</v>
      </c>
      <c r="D54" s="581">
        <v>0.27929999999999999</v>
      </c>
      <c r="E54" s="581">
        <v>4.8932000000000002</v>
      </c>
      <c r="F54" s="581">
        <v>1.0376000000000001</v>
      </c>
      <c r="G54" s="581">
        <v>1.4216</v>
      </c>
      <c r="H54" s="581">
        <v>1.7436</v>
      </c>
    </row>
    <row r="55" spans="1:8">
      <c r="A55" s="581">
        <v>49</v>
      </c>
      <c r="B55" s="581" t="s">
        <v>1568</v>
      </c>
      <c r="C55" s="581">
        <v>1.5846</v>
      </c>
      <c r="D55" s="581">
        <v>0.224</v>
      </c>
      <c r="E55" s="581">
        <v>2.9714999999999998</v>
      </c>
      <c r="F55" s="581">
        <v>0.99460000000000004</v>
      </c>
      <c r="G55" s="581">
        <v>1.5311999999999999</v>
      </c>
      <c r="H55" s="581">
        <v>2.4531999999999998</v>
      </c>
    </row>
    <row r="56" spans="1:8">
      <c r="A56" s="581">
        <v>50</v>
      </c>
      <c r="B56" s="581" t="s">
        <v>1569</v>
      </c>
      <c r="C56" s="581">
        <v>1.6557999999999999</v>
      </c>
      <c r="D56" s="581">
        <v>0.29630000000000001</v>
      </c>
      <c r="E56" s="581">
        <v>10.1157</v>
      </c>
      <c r="F56" s="581">
        <v>1.0201</v>
      </c>
      <c r="G56" s="581">
        <v>1.417</v>
      </c>
      <c r="H56" s="581">
        <v>1.2836000000000001</v>
      </c>
    </row>
    <row r="57" spans="1:8">
      <c r="A57" s="581">
        <v>51</v>
      </c>
      <c r="B57" s="581" t="s">
        <v>1570</v>
      </c>
      <c r="C57" s="581">
        <v>1.8449</v>
      </c>
      <c r="D57" s="581">
        <v>0.3629</v>
      </c>
      <c r="E57" s="581">
        <v>6.9322999999999997</v>
      </c>
      <c r="F57" s="581">
        <v>0.99950000000000006</v>
      </c>
      <c r="G57" s="581">
        <v>1.5149999999999999</v>
      </c>
      <c r="H57" s="581">
        <v>1.6895</v>
      </c>
    </row>
    <row r="58" spans="1:8">
      <c r="A58" s="581">
        <v>52</v>
      </c>
      <c r="B58" s="581" t="s">
        <v>1571</v>
      </c>
      <c r="C58" s="581">
        <v>1.6879</v>
      </c>
      <c r="D58" s="581">
        <v>0.34339999999999998</v>
      </c>
      <c r="E58" s="581">
        <v>11.229100000000001</v>
      </c>
      <c r="F58" s="581">
        <v>1.0563</v>
      </c>
      <c r="G58" s="581">
        <v>1.3241000000000001</v>
      </c>
      <c r="H58" s="581">
        <v>1.2452000000000001</v>
      </c>
    </row>
    <row r="59" spans="1:8">
      <c r="A59" s="581">
        <v>53</v>
      </c>
      <c r="B59" s="581" t="s">
        <v>1572</v>
      </c>
      <c r="C59" s="581">
        <v>1.7502</v>
      </c>
      <c r="D59" s="581">
        <v>0.35320000000000001</v>
      </c>
      <c r="E59" s="581">
        <v>6.7945000000000002</v>
      </c>
      <c r="F59" s="581">
        <v>1.0744</v>
      </c>
      <c r="G59" s="581">
        <v>1.3935</v>
      </c>
      <c r="H59" s="581">
        <v>1.5748</v>
      </c>
    </row>
    <row r="60" spans="1:8">
      <c r="A60" s="581">
        <v>54</v>
      </c>
      <c r="B60" s="581" t="s">
        <v>1573</v>
      </c>
      <c r="C60" s="581">
        <v>1.835</v>
      </c>
      <c r="D60" s="581">
        <v>0.32090000000000002</v>
      </c>
      <c r="E60" s="581">
        <v>6.609</v>
      </c>
      <c r="F60" s="581">
        <v>1.0281</v>
      </c>
      <c r="G60" s="581">
        <v>1.4505999999999999</v>
      </c>
      <c r="H60" s="581">
        <v>1.6451</v>
      </c>
    </row>
    <row r="61" spans="1:8">
      <c r="A61" s="581">
        <v>55</v>
      </c>
      <c r="B61" s="581" t="s">
        <v>1574</v>
      </c>
      <c r="C61" s="581">
        <v>1.7040999999999999</v>
      </c>
      <c r="D61" s="581">
        <v>0.41339999999999999</v>
      </c>
      <c r="E61" s="581">
        <v>12.361800000000001</v>
      </c>
      <c r="F61" s="581">
        <v>1.0880000000000001</v>
      </c>
      <c r="G61" s="581">
        <v>1.2746999999999999</v>
      </c>
      <c r="H61" s="581">
        <v>1.2367999999999999</v>
      </c>
    </row>
    <row r="62" spans="1:8">
      <c r="A62" s="581">
        <v>56</v>
      </c>
      <c r="B62" s="581" t="s">
        <v>1575</v>
      </c>
      <c r="C62" s="581">
        <v>1.7393000000000001</v>
      </c>
      <c r="D62" s="581">
        <v>0.41639999999999999</v>
      </c>
      <c r="E62" s="581">
        <v>17.159099999999999</v>
      </c>
      <c r="F62" s="581">
        <v>1.0743</v>
      </c>
      <c r="G62" s="581">
        <v>1.2963</v>
      </c>
      <c r="H62" s="581">
        <v>1.1708000000000001</v>
      </c>
    </row>
    <row r="63" spans="1:8">
      <c r="A63" s="581">
        <v>57</v>
      </c>
      <c r="B63" s="581" t="s">
        <v>1576</v>
      </c>
      <c r="C63" s="581">
        <v>1.7234</v>
      </c>
      <c r="D63" s="581">
        <v>0.37719999999999998</v>
      </c>
      <c r="E63" s="581">
        <v>12.6267</v>
      </c>
      <c r="F63" s="581">
        <v>1.0396000000000001</v>
      </c>
      <c r="G63" s="581">
        <v>1.3756999999999999</v>
      </c>
      <c r="H63" s="581">
        <v>1.2774000000000001</v>
      </c>
    </row>
    <row r="64" spans="1:8">
      <c r="A64" s="581">
        <v>58</v>
      </c>
      <c r="B64" s="581" t="s">
        <v>1577</v>
      </c>
      <c r="C64" s="581">
        <v>1.5738000000000001</v>
      </c>
      <c r="D64" s="581">
        <v>0.25700000000000001</v>
      </c>
      <c r="E64" s="581">
        <v>11.577400000000001</v>
      </c>
      <c r="F64" s="581">
        <v>0.99170000000000003</v>
      </c>
      <c r="G64" s="581">
        <v>1.3774999999999999</v>
      </c>
      <c r="H64" s="581">
        <v>1.1815</v>
      </c>
    </row>
    <row r="65" spans="1:8">
      <c r="A65" s="581">
        <v>59</v>
      </c>
      <c r="B65" s="581" t="s">
        <v>1578</v>
      </c>
      <c r="C65" s="581">
        <v>1.6976</v>
      </c>
      <c r="D65" s="581">
        <v>0.2457</v>
      </c>
      <c r="E65" s="581">
        <v>6.3334999999999999</v>
      </c>
      <c r="F65" s="581">
        <v>0.95679999999999998</v>
      </c>
      <c r="G65" s="581">
        <v>1.6153999999999999</v>
      </c>
      <c r="H65" s="581">
        <v>1.538</v>
      </c>
    </row>
    <row r="66" spans="1:8">
      <c r="A66" s="581">
        <v>60</v>
      </c>
      <c r="B66" s="581" t="s">
        <v>1579</v>
      </c>
      <c r="C66" s="581">
        <v>1.6817</v>
      </c>
      <c r="D66" s="581">
        <v>0.28489999999999999</v>
      </c>
      <c r="E66" s="581">
        <v>12.925599999999999</v>
      </c>
      <c r="F66" s="581">
        <v>0.92769999999999997</v>
      </c>
      <c r="G66" s="581">
        <v>1.4069</v>
      </c>
      <c r="H66" s="581">
        <v>1.1821999999999999</v>
      </c>
    </row>
    <row r="67" spans="1:8">
      <c r="A67" s="581">
        <v>61</v>
      </c>
      <c r="B67" s="581" t="s">
        <v>1580</v>
      </c>
      <c r="C67" s="581">
        <v>1.7746</v>
      </c>
      <c r="D67" s="581">
        <v>0.33729999999999999</v>
      </c>
      <c r="E67" s="581">
        <v>8.4747000000000003</v>
      </c>
      <c r="F67" s="581">
        <v>1.0068999999999999</v>
      </c>
      <c r="G67" s="581">
        <v>1.4379</v>
      </c>
      <c r="H67" s="581">
        <v>1.4244000000000001</v>
      </c>
    </row>
    <row r="68" spans="1:8">
      <c r="A68" s="581">
        <v>62</v>
      </c>
      <c r="B68" s="581" t="s">
        <v>1581</v>
      </c>
      <c r="C68" s="581">
        <v>0.96679999999999999</v>
      </c>
      <c r="D68" s="581">
        <v>0.13059999999999999</v>
      </c>
      <c r="E68" s="581">
        <v>3.6570999999999998</v>
      </c>
      <c r="F68" s="581">
        <v>0.57299999999999995</v>
      </c>
      <c r="G68" s="581">
        <v>0</v>
      </c>
      <c r="H68" s="581">
        <v>0</v>
      </c>
    </row>
    <row r="70" spans="1:8">
      <c r="C70" s="581">
        <f>SUM(C6:C68)</f>
        <v>100.31739999999999</v>
      </c>
      <c r="D70" s="581">
        <f t="shared" ref="D70:H70" si="0">SUM(D6:D68)</f>
        <v>13.643199999999997</v>
      </c>
      <c r="E70" s="581">
        <f t="shared" si="0"/>
        <v>340.32320000000004</v>
      </c>
      <c r="F70" s="581">
        <f t="shared" si="0"/>
        <v>51.5702</v>
      </c>
      <c r="G70" s="581">
        <f t="shared" si="0"/>
        <v>104.14249999999998</v>
      </c>
      <c r="H70" s="581">
        <f t="shared" si="0"/>
        <v>118.47310000000002</v>
      </c>
    </row>
    <row r="71" spans="1:8">
      <c r="C71" s="581">
        <f>C70-SUM(middlesex!B2:B63)</f>
        <v>0.35130000000000905</v>
      </c>
      <c r="D71" s="581">
        <f>D70-SUM(middlesex!C2:C63)</f>
        <v>-0.34150000000000169</v>
      </c>
      <c r="E71" s="581">
        <f>E70-SUM(middlesex!D2:D63)</f>
        <v>-19.722399999999823</v>
      </c>
      <c r="F71" s="581">
        <f>F70-SUM(middlesex!E2:E63)</f>
        <v>-1.6504000000000048</v>
      </c>
      <c r="G71" s="581">
        <f>G70-SUM(middlesex!F2:F63)</f>
        <v>0.1005999999999716</v>
      </c>
      <c r="H71" s="581">
        <f>H70-SUM(middlesex!G2:G63)</f>
        <v>4.5029000000000252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H71"/>
  <sheetViews>
    <sheetView topLeftCell="A69" workbookViewId="0">
      <selection activeCell="D69" sqref="D69"/>
    </sheetView>
  </sheetViews>
  <sheetFormatPr defaultColWidth="9.109375" defaultRowHeight="14.4"/>
  <cols>
    <col min="1" max="16384" width="9.109375" style="581"/>
  </cols>
  <sheetData>
    <row r="1" spans="1:8">
      <c r="A1" s="581" t="s">
        <v>1513</v>
      </c>
    </row>
    <row r="2" spans="1:8">
      <c r="A2" s="581" t="s">
        <v>1590</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1.3177000000000001</v>
      </c>
      <c r="D7" s="581">
        <v>0.26390000000000002</v>
      </c>
      <c r="E7" s="581">
        <v>11.553100000000001</v>
      </c>
      <c r="F7" s="581">
        <v>0.58540000000000003</v>
      </c>
      <c r="G7" s="581">
        <v>1.2298</v>
      </c>
      <c r="H7" s="581">
        <v>1.1294999999999999</v>
      </c>
    </row>
    <row r="8" spans="1:8">
      <c r="A8" s="581">
        <v>2</v>
      </c>
      <c r="B8" s="581" t="s">
        <v>1521</v>
      </c>
      <c r="C8" s="581">
        <v>1.5907</v>
      </c>
      <c r="D8" s="581">
        <v>0.71209999999999996</v>
      </c>
      <c r="E8" s="581">
        <v>31.683599999999998</v>
      </c>
      <c r="F8" s="581">
        <v>1.0137</v>
      </c>
      <c r="G8" s="581">
        <v>1.1468</v>
      </c>
      <c r="H8" s="581">
        <v>1.0792999999999999</v>
      </c>
    </row>
    <row r="9" spans="1:8">
      <c r="A9" s="581">
        <v>3</v>
      </c>
      <c r="B9" s="581" t="s">
        <v>1522</v>
      </c>
      <c r="C9" s="581">
        <v>1</v>
      </c>
      <c r="D9" s="581">
        <v>0</v>
      </c>
      <c r="E9" s="581">
        <v>0</v>
      </c>
      <c r="F9" s="581">
        <v>0</v>
      </c>
      <c r="G9" s="581">
        <v>0</v>
      </c>
      <c r="H9" s="581">
        <v>0</v>
      </c>
    </row>
    <row r="10" spans="1:8">
      <c r="A10" s="581">
        <v>4</v>
      </c>
      <c r="B10" s="581" t="s">
        <v>1523</v>
      </c>
      <c r="C10" s="581">
        <v>1</v>
      </c>
      <c r="D10" s="581">
        <v>0</v>
      </c>
      <c r="E10" s="581">
        <v>0</v>
      </c>
      <c r="F10" s="581">
        <v>0</v>
      </c>
      <c r="G10" s="581">
        <v>0</v>
      </c>
      <c r="H10" s="581">
        <v>0</v>
      </c>
    </row>
    <row r="11" spans="1:8">
      <c r="A11" s="581">
        <v>5</v>
      </c>
      <c r="B11" s="581" t="s">
        <v>1524</v>
      </c>
      <c r="C11" s="581">
        <v>1.4746999999999999</v>
      </c>
      <c r="D11" s="581">
        <v>0.13880000000000001</v>
      </c>
      <c r="E11" s="581">
        <v>2.6615000000000002</v>
      </c>
      <c r="F11" s="581">
        <v>0.60670000000000002</v>
      </c>
      <c r="G11" s="581">
        <v>2.3214999999999999</v>
      </c>
      <c r="H11" s="581">
        <v>2.1240999999999999</v>
      </c>
    </row>
    <row r="12" spans="1:8">
      <c r="A12" s="581">
        <v>6</v>
      </c>
      <c r="B12" s="581" t="s">
        <v>1525</v>
      </c>
      <c r="C12" s="581">
        <v>1.1288</v>
      </c>
      <c r="D12" s="581">
        <v>6.7199999999999996E-2</v>
      </c>
      <c r="E12" s="581">
        <v>0.87849999999999995</v>
      </c>
      <c r="F12" s="581">
        <v>0.65069999999999995</v>
      </c>
      <c r="G12" s="581">
        <v>1.5289999999999999</v>
      </c>
      <c r="H12" s="581">
        <v>2.1417999999999999</v>
      </c>
    </row>
    <row r="13" spans="1:8">
      <c r="A13" s="581">
        <v>7</v>
      </c>
      <c r="B13" s="581" t="s">
        <v>1526</v>
      </c>
      <c r="C13" s="581">
        <v>1.4005000000000001</v>
      </c>
      <c r="D13" s="581">
        <v>0.217</v>
      </c>
      <c r="E13" s="581">
        <v>4.3890000000000002</v>
      </c>
      <c r="F13" s="581">
        <v>0.7369</v>
      </c>
      <c r="G13" s="581">
        <v>1.4092</v>
      </c>
      <c r="H13" s="581">
        <v>1.4933000000000001</v>
      </c>
    </row>
    <row r="14" spans="1:8">
      <c r="A14" s="581">
        <v>8</v>
      </c>
      <c r="B14" s="581" t="s">
        <v>1527</v>
      </c>
      <c r="C14" s="581">
        <v>1.2887</v>
      </c>
      <c r="D14" s="581">
        <v>9.7500000000000003E-2</v>
      </c>
      <c r="E14" s="581">
        <v>2.2949000000000002</v>
      </c>
      <c r="F14" s="581">
        <v>0.43440000000000001</v>
      </c>
      <c r="G14" s="581">
        <v>1.6744000000000001</v>
      </c>
      <c r="H14" s="581">
        <v>1.5457000000000001</v>
      </c>
    </row>
    <row r="15" spans="1:8">
      <c r="A15" s="581">
        <v>9</v>
      </c>
      <c r="B15" s="581" t="s">
        <v>1528</v>
      </c>
      <c r="C15" s="581">
        <v>1.3895999999999999</v>
      </c>
      <c r="D15" s="581">
        <v>0.20150000000000001</v>
      </c>
      <c r="E15" s="581">
        <v>3.8885000000000001</v>
      </c>
      <c r="F15" s="581">
        <v>0.60650000000000004</v>
      </c>
      <c r="G15" s="581">
        <v>1.4516</v>
      </c>
      <c r="H15" s="581">
        <v>1.4999</v>
      </c>
    </row>
    <row r="16" spans="1:8">
      <c r="A16" s="581">
        <v>10</v>
      </c>
      <c r="B16" s="581" t="s">
        <v>1529</v>
      </c>
      <c r="C16" s="581">
        <v>1.2783</v>
      </c>
      <c r="D16" s="581">
        <v>9.3399999999999997E-2</v>
      </c>
      <c r="E16" s="581">
        <v>1.6870000000000001</v>
      </c>
      <c r="F16" s="581">
        <v>0.39679999999999999</v>
      </c>
      <c r="G16" s="581">
        <v>1.7963</v>
      </c>
      <c r="H16" s="581">
        <v>1.9772000000000001</v>
      </c>
    </row>
    <row r="17" spans="1:8">
      <c r="A17" s="581">
        <v>11</v>
      </c>
      <c r="B17" s="581" t="s">
        <v>1530</v>
      </c>
      <c r="C17" s="581">
        <v>1.3136000000000001</v>
      </c>
      <c r="D17" s="581">
        <v>0.10970000000000001</v>
      </c>
      <c r="E17" s="581">
        <v>2.1629</v>
      </c>
      <c r="F17" s="581">
        <v>0.57430000000000003</v>
      </c>
      <c r="G17" s="581">
        <v>1.6741999999999999</v>
      </c>
      <c r="H17" s="581">
        <v>1.7267999999999999</v>
      </c>
    </row>
    <row r="18" spans="1:8">
      <c r="A18" s="581">
        <v>12</v>
      </c>
      <c r="B18" s="581" t="s">
        <v>1531</v>
      </c>
      <c r="C18" s="581">
        <v>1.3413999999999999</v>
      </c>
      <c r="D18" s="581">
        <v>0.1628</v>
      </c>
      <c r="E18" s="581">
        <v>2.8026</v>
      </c>
      <c r="F18" s="581">
        <v>0.54220000000000002</v>
      </c>
      <c r="G18" s="581">
        <v>1.46</v>
      </c>
      <c r="H18" s="581">
        <v>1.5945</v>
      </c>
    </row>
    <row r="19" spans="1:8">
      <c r="A19" s="581">
        <v>13</v>
      </c>
      <c r="B19" s="581" t="s">
        <v>1532</v>
      </c>
      <c r="C19" s="581">
        <v>1.4556</v>
      </c>
      <c r="D19" s="581">
        <v>0.1938</v>
      </c>
      <c r="E19" s="581">
        <v>2.8752</v>
      </c>
      <c r="F19" s="581">
        <v>0.76090000000000002</v>
      </c>
      <c r="G19" s="581">
        <v>1.5755999999999999</v>
      </c>
      <c r="H19" s="581">
        <v>1.8801000000000001</v>
      </c>
    </row>
    <row r="20" spans="1:8">
      <c r="A20" s="581">
        <v>14</v>
      </c>
      <c r="B20" s="581" t="s">
        <v>1533</v>
      </c>
      <c r="C20" s="581">
        <v>1.3244</v>
      </c>
      <c r="D20" s="581">
        <v>0.1268</v>
      </c>
      <c r="E20" s="581">
        <v>2.3092000000000001</v>
      </c>
      <c r="F20" s="581">
        <v>0.61860000000000004</v>
      </c>
      <c r="G20" s="581">
        <v>1.7222</v>
      </c>
      <c r="H20" s="581">
        <v>1.7629999999999999</v>
      </c>
    </row>
    <row r="21" spans="1:8">
      <c r="A21" s="581">
        <v>15</v>
      </c>
      <c r="B21" s="581" t="s">
        <v>1534</v>
      </c>
      <c r="C21" s="581">
        <v>1.3233999999999999</v>
      </c>
      <c r="D21" s="581">
        <v>0.15429999999999999</v>
      </c>
      <c r="E21" s="581">
        <v>2.7231000000000001</v>
      </c>
      <c r="F21" s="581">
        <v>0.40579999999999999</v>
      </c>
      <c r="G21" s="581">
        <v>1.5023</v>
      </c>
      <c r="H21" s="581">
        <v>1.5806</v>
      </c>
    </row>
    <row r="22" spans="1:8">
      <c r="A22" s="581">
        <v>16</v>
      </c>
      <c r="B22" s="581" t="s">
        <v>1535</v>
      </c>
      <c r="C22" s="581">
        <v>1.2503</v>
      </c>
      <c r="D22" s="581">
        <v>0.152</v>
      </c>
      <c r="E22" s="581">
        <v>2.9037000000000002</v>
      </c>
      <c r="F22" s="581">
        <v>0.49469999999999997</v>
      </c>
      <c r="G22" s="581">
        <v>1.381</v>
      </c>
      <c r="H22" s="581">
        <v>1.3914</v>
      </c>
    </row>
    <row r="23" spans="1:8">
      <c r="A23" s="581">
        <v>17</v>
      </c>
      <c r="B23" s="581" t="s">
        <v>1536</v>
      </c>
      <c r="C23" s="581">
        <v>1.3480000000000001</v>
      </c>
      <c r="D23" s="581">
        <v>0.1079</v>
      </c>
      <c r="E23" s="581">
        <v>2.3643999999999998</v>
      </c>
      <c r="F23" s="581">
        <v>0.59719999999999995</v>
      </c>
      <c r="G23" s="581">
        <v>1.8804000000000001</v>
      </c>
      <c r="H23" s="581">
        <v>1.8063</v>
      </c>
    </row>
    <row r="24" spans="1:8">
      <c r="A24" s="581">
        <v>18</v>
      </c>
      <c r="B24" s="581" t="s">
        <v>1537</v>
      </c>
      <c r="C24" s="581">
        <v>1.3554999999999999</v>
      </c>
      <c r="D24" s="581">
        <v>0.1648</v>
      </c>
      <c r="E24" s="581">
        <v>2.8736000000000002</v>
      </c>
      <c r="F24" s="581">
        <v>0.7248</v>
      </c>
      <c r="G24" s="581">
        <v>1.4919</v>
      </c>
      <c r="H24" s="581">
        <v>1.6444000000000001</v>
      </c>
    </row>
    <row r="25" spans="1:8">
      <c r="A25" s="581">
        <v>19</v>
      </c>
      <c r="B25" s="581" t="s">
        <v>1538</v>
      </c>
      <c r="C25" s="581">
        <v>1.3418000000000001</v>
      </c>
      <c r="D25" s="581">
        <v>0.14829999999999999</v>
      </c>
      <c r="E25" s="581">
        <v>3.1751</v>
      </c>
      <c r="F25" s="581">
        <v>0.44640000000000002</v>
      </c>
      <c r="G25" s="581">
        <v>1.595</v>
      </c>
      <c r="H25" s="581">
        <v>1.5630999999999999</v>
      </c>
    </row>
    <row r="26" spans="1:8">
      <c r="A26" s="581">
        <v>20</v>
      </c>
      <c r="B26" s="581" t="s">
        <v>1539</v>
      </c>
      <c r="C26" s="581">
        <v>1.3261000000000001</v>
      </c>
      <c r="D26" s="581">
        <v>0.21310000000000001</v>
      </c>
      <c r="E26" s="581">
        <v>5.0228000000000002</v>
      </c>
      <c r="F26" s="581">
        <v>0.4849</v>
      </c>
      <c r="G26" s="581">
        <v>1.3087</v>
      </c>
      <c r="H26" s="581">
        <v>1.2896000000000001</v>
      </c>
    </row>
    <row r="27" spans="1:8">
      <c r="A27" s="581">
        <v>21</v>
      </c>
      <c r="B27" s="581" t="s">
        <v>1540</v>
      </c>
      <c r="C27" s="581">
        <v>1.3814</v>
      </c>
      <c r="D27" s="581">
        <v>0.2394</v>
      </c>
      <c r="E27" s="581">
        <v>6.0801999999999996</v>
      </c>
      <c r="F27" s="581">
        <v>0.64749999999999996</v>
      </c>
      <c r="G27" s="581">
        <v>1.3735999999999999</v>
      </c>
      <c r="H27" s="581">
        <v>1.3026</v>
      </c>
    </row>
    <row r="28" spans="1:8">
      <c r="A28" s="581">
        <v>22</v>
      </c>
      <c r="B28" s="581" t="s">
        <v>1541</v>
      </c>
      <c r="C28" s="581">
        <v>1.2741</v>
      </c>
      <c r="D28" s="581">
        <v>0.124</v>
      </c>
      <c r="E28" s="581">
        <v>2.1057999999999999</v>
      </c>
      <c r="F28" s="581">
        <v>0.51339999999999997</v>
      </c>
      <c r="G28" s="581">
        <v>1.5067999999999999</v>
      </c>
      <c r="H28" s="581">
        <v>1.6259999999999999</v>
      </c>
    </row>
    <row r="29" spans="1:8">
      <c r="A29" s="581">
        <v>23</v>
      </c>
      <c r="B29" s="581" t="s">
        <v>1542</v>
      </c>
      <c r="C29" s="581">
        <v>1.4328000000000001</v>
      </c>
      <c r="D29" s="581">
        <v>0.16109999999999999</v>
      </c>
      <c r="E29" s="581">
        <v>3.2791999999999999</v>
      </c>
      <c r="F29" s="581">
        <v>0.61980000000000002</v>
      </c>
      <c r="G29" s="581">
        <v>1.7343999999999999</v>
      </c>
      <c r="H29" s="581">
        <v>1.7955000000000001</v>
      </c>
    </row>
    <row r="30" spans="1:8">
      <c r="A30" s="581">
        <v>24</v>
      </c>
      <c r="B30" s="581" t="s">
        <v>1543</v>
      </c>
      <c r="C30" s="581">
        <v>1</v>
      </c>
      <c r="D30" s="581">
        <v>0</v>
      </c>
      <c r="E30" s="581">
        <v>0</v>
      </c>
      <c r="F30" s="581">
        <v>0</v>
      </c>
      <c r="G30" s="581">
        <v>0</v>
      </c>
      <c r="H30" s="581">
        <v>0</v>
      </c>
    </row>
    <row r="31" spans="1:8">
      <c r="A31" s="581">
        <v>25</v>
      </c>
      <c r="B31" s="581" t="s">
        <v>1544</v>
      </c>
      <c r="C31" s="581">
        <v>1.3635999999999999</v>
      </c>
      <c r="D31" s="581">
        <v>0.1401</v>
      </c>
      <c r="E31" s="581">
        <v>1.7742</v>
      </c>
      <c r="F31" s="581">
        <v>0.53790000000000004</v>
      </c>
      <c r="G31" s="581">
        <v>1.7403</v>
      </c>
      <c r="H31" s="581">
        <v>2.3329</v>
      </c>
    </row>
    <row r="32" spans="1:8">
      <c r="A32" s="581">
        <v>26</v>
      </c>
      <c r="B32" s="581" t="s">
        <v>1545</v>
      </c>
      <c r="C32" s="581">
        <v>1.3129</v>
      </c>
      <c r="D32" s="581">
        <v>0.1235</v>
      </c>
      <c r="E32" s="581">
        <v>2.4622999999999999</v>
      </c>
      <c r="F32" s="581">
        <v>0.50449999999999995</v>
      </c>
      <c r="G32" s="581">
        <v>1.6303000000000001</v>
      </c>
      <c r="H32" s="581">
        <v>1.6473</v>
      </c>
    </row>
    <row r="33" spans="1:8">
      <c r="A33" s="581">
        <v>27</v>
      </c>
      <c r="B33" s="581" t="s">
        <v>1546</v>
      </c>
      <c r="C33" s="581">
        <v>1.4059999999999999</v>
      </c>
      <c r="D33" s="581">
        <v>0.20349999999999999</v>
      </c>
      <c r="E33" s="581">
        <v>3.2795999999999998</v>
      </c>
      <c r="F33" s="581">
        <v>0.89590000000000003</v>
      </c>
      <c r="G33" s="581">
        <v>1.4916</v>
      </c>
      <c r="H33" s="581">
        <v>1.8041</v>
      </c>
    </row>
    <row r="34" spans="1:8">
      <c r="A34" s="581">
        <v>28</v>
      </c>
      <c r="B34" s="581" t="s">
        <v>1547</v>
      </c>
      <c r="C34" s="581">
        <v>1.3963000000000001</v>
      </c>
      <c r="D34" s="581">
        <v>0.2419</v>
      </c>
      <c r="E34" s="581">
        <v>7.8621999999999996</v>
      </c>
      <c r="F34" s="581">
        <v>0.91339999999999999</v>
      </c>
      <c r="G34" s="581">
        <v>1.325</v>
      </c>
      <c r="H34" s="581">
        <v>1.2242</v>
      </c>
    </row>
    <row r="35" spans="1:8">
      <c r="A35" s="581">
        <v>29</v>
      </c>
      <c r="B35" s="581" t="s">
        <v>1548</v>
      </c>
      <c r="C35" s="581">
        <v>1.1786000000000001</v>
      </c>
      <c r="D35" s="581">
        <v>9.4500000000000001E-2</v>
      </c>
      <c r="E35" s="581">
        <v>1.839</v>
      </c>
      <c r="F35" s="581">
        <v>0.4677</v>
      </c>
      <c r="G35" s="581">
        <v>1.4241999999999999</v>
      </c>
      <c r="H35" s="581">
        <v>1.6420999999999999</v>
      </c>
    </row>
    <row r="36" spans="1:8">
      <c r="A36" s="581">
        <v>30</v>
      </c>
      <c r="B36" s="581" t="s">
        <v>1549</v>
      </c>
      <c r="C36" s="581">
        <v>1.3949</v>
      </c>
      <c r="D36" s="581">
        <v>0.13350000000000001</v>
      </c>
      <c r="E36" s="581">
        <v>2.3241000000000001</v>
      </c>
      <c r="F36" s="581">
        <v>0.64149999999999996</v>
      </c>
      <c r="G36" s="581">
        <v>1.9233</v>
      </c>
      <c r="H36" s="581">
        <v>2.4661</v>
      </c>
    </row>
    <row r="37" spans="1:8">
      <c r="A37" s="581">
        <v>31</v>
      </c>
      <c r="B37" s="581" t="s">
        <v>1550</v>
      </c>
      <c r="C37" s="581">
        <v>1</v>
      </c>
      <c r="D37" s="581">
        <v>0</v>
      </c>
      <c r="E37" s="581">
        <v>0</v>
      </c>
      <c r="F37" s="581">
        <v>0</v>
      </c>
      <c r="G37" s="581">
        <v>0</v>
      </c>
      <c r="H37" s="581">
        <v>0</v>
      </c>
    </row>
    <row r="38" spans="1:8">
      <c r="A38" s="581">
        <v>32</v>
      </c>
      <c r="B38" s="581" t="s">
        <v>1551</v>
      </c>
      <c r="C38" s="581">
        <v>1.3996999999999999</v>
      </c>
      <c r="D38" s="581">
        <v>0.17499999999999999</v>
      </c>
      <c r="E38" s="581">
        <v>3.8500999999999999</v>
      </c>
      <c r="F38" s="581">
        <v>0.67949999999999999</v>
      </c>
      <c r="G38" s="581">
        <v>1.6263000000000001</v>
      </c>
      <c r="H38" s="581">
        <v>1.7388999999999999</v>
      </c>
    </row>
    <row r="39" spans="1:8">
      <c r="A39" s="581">
        <v>33</v>
      </c>
      <c r="B39" s="581" t="s">
        <v>1552</v>
      </c>
      <c r="C39" s="581">
        <v>1.4277</v>
      </c>
      <c r="D39" s="581">
        <v>0.4037</v>
      </c>
      <c r="E39" s="581">
        <v>15.563800000000001</v>
      </c>
      <c r="F39" s="581">
        <v>0.80500000000000005</v>
      </c>
      <c r="G39" s="581">
        <v>1.2045999999999999</v>
      </c>
      <c r="H39" s="581">
        <v>1.1213</v>
      </c>
    </row>
    <row r="40" spans="1:8">
      <c r="A40" s="581">
        <v>34</v>
      </c>
      <c r="B40" s="581" t="s">
        <v>1553</v>
      </c>
      <c r="C40" s="581">
        <v>1.5596000000000001</v>
      </c>
      <c r="D40" s="581">
        <v>0.38990000000000002</v>
      </c>
      <c r="E40" s="581">
        <v>5.4240000000000004</v>
      </c>
      <c r="F40" s="581">
        <v>0.82189999999999996</v>
      </c>
      <c r="G40" s="581">
        <v>1.2947</v>
      </c>
      <c r="H40" s="581">
        <v>1.6518999999999999</v>
      </c>
    </row>
    <row r="41" spans="1:8">
      <c r="A41" s="581">
        <v>35</v>
      </c>
      <c r="B41" s="581" t="s">
        <v>1554</v>
      </c>
      <c r="C41" s="581">
        <v>1.3228</v>
      </c>
      <c r="D41" s="581">
        <v>0.26840000000000003</v>
      </c>
      <c r="E41" s="581">
        <v>5.7324000000000002</v>
      </c>
      <c r="F41" s="581">
        <v>0.878</v>
      </c>
      <c r="G41" s="581">
        <v>1.2448999999999999</v>
      </c>
      <c r="H41" s="581">
        <v>1.3106</v>
      </c>
    </row>
    <row r="42" spans="1:8">
      <c r="A42" s="581">
        <v>36</v>
      </c>
      <c r="B42" s="581" t="s">
        <v>1555</v>
      </c>
      <c r="C42" s="581">
        <v>1.4067000000000001</v>
      </c>
      <c r="D42" s="581">
        <v>0.28889999999999999</v>
      </c>
      <c r="E42" s="581">
        <v>6.7843999999999998</v>
      </c>
      <c r="F42" s="581">
        <v>0.94699999999999995</v>
      </c>
      <c r="G42" s="581">
        <v>1.2831999999999999</v>
      </c>
      <c r="H42" s="581">
        <v>1.3151999999999999</v>
      </c>
    </row>
    <row r="43" spans="1:8">
      <c r="A43" s="581">
        <v>37</v>
      </c>
      <c r="B43" s="581" t="s">
        <v>1556</v>
      </c>
      <c r="C43" s="581">
        <v>1.5956999999999999</v>
      </c>
      <c r="D43" s="581">
        <v>0.19239999999999999</v>
      </c>
      <c r="E43" s="581">
        <v>3.5611999999999999</v>
      </c>
      <c r="F43" s="581">
        <v>0.79369999999999996</v>
      </c>
      <c r="G43" s="581">
        <v>2.0064000000000002</v>
      </c>
      <c r="H43" s="581">
        <v>2.5295999999999998</v>
      </c>
    </row>
    <row r="44" spans="1:8">
      <c r="A44" s="581">
        <v>38</v>
      </c>
      <c r="B44" s="581" t="s">
        <v>1557</v>
      </c>
      <c r="C44" s="581">
        <v>1.3479000000000001</v>
      </c>
      <c r="D44" s="581">
        <v>0.1736</v>
      </c>
      <c r="E44" s="581">
        <v>4.7556000000000003</v>
      </c>
      <c r="F44" s="581">
        <v>0.81010000000000004</v>
      </c>
      <c r="G44" s="581">
        <v>1.4593</v>
      </c>
      <c r="H44" s="581">
        <v>1.3792</v>
      </c>
    </row>
    <row r="45" spans="1:8">
      <c r="A45" s="581">
        <v>39</v>
      </c>
      <c r="B45" s="581" t="s">
        <v>1558</v>
      </c>
      <c r="C45" s="581">
        <v>1.5136000000000001</v>
      </c>
      <c r="D45" s="581">
        <v>0.21840000000000001</v>
      </c>
      <c r="E45" s="581">
        <v>2.8628</v>
      </c>
      <c r="F45" s="581">
        <v>0.72489999999999999</v>
      </c>
      <c r="G45" s="581">
        <v>1.5759000000000001</v>
      </c>
      <c r="H45" s="581">
        <v>2.3169</v>
      </c>
    </row>
    <row r="46" spans="1:8">
      <c r="A46" s="581">
        <v>40</v>
      </c>
      <c r="B46" s="581" t="s">
        <v>1559</v>
      </c>
      <c r="C46" s="581">
        <v>1.4632000000000001</v>
      </c>
      <c r="D46" s="581">
        <v>0.122</v>
      </c>
      <c r="E46" s="581">
        <v>2.0308000000000002</v>
      </c>
      <c r="F46" s="581">
        <v>0.82040000000000002</v>
      </c>
      <c r="G46" s="581">
        <v>2.0316999999999998</v>
      </c>
      <c r="H46" s="581">
        <v>2.6762999999999999</v>
      </c>
    </row>
    <row r="47" spans="1:8">
      <c r="A47" s="581">
        <v>41</v>
      </c>
      <c r="B47" s="581" t="s">
        <v>1560</v>
      </c>
      <c r="C47" s="581">
        <v>1.5097</v>
      </c>
      <c r="D47" s="581">
        <v>0.15790000000000001</v>
      </c>
      <c r="E47" s="581">
        <v>2.7726999999999999</v>
      </c>
      <c r="F47" s="581">
        <v>0.78220000000000001</v>
      </c>
      <c r="G47" s="581">
        <v>2.0152999999999999</v>
      </c>
      <c r="H47" s="581">
        <v>2.9483999999999999</v>
      </c>
    </row>
    <row r="48" spans="1:8">
      <c r="A48" s="581">
        <v>42</v>
      </c>
      <c r="B48" s="581" t="s">
        <v>1561</v>
      </c>
      <c r="C48" s="581">
        <v>1.607</v>
      </c>
      <c r="D48" s="581">
        <v>0.18410000000000001</v>
      </c>
      <c r="E48" s="581">
        <v>3.3622999999999998</v>
      </c>
      <c r="F48" s="581">
        <v>0.85029999999999994</v>
      </c>
      <c r="G48" s="581">
        <v>2.0634000000000001</v>
      </c>
      <c r="H48" s="581">
        <v>2.4722</v>
      </c>
    </row>
    <row r="49" spans="1:8">
      <c r="A49" s="581">
        <v>43</v>
      </c>
      <c r="B49" s="581" t="s">
        <v>1562</v>
      </c>
      <c r="C49" s="581">
        <v>1.6146</v>
      </c>
      <c r="D49" s="581">
        <v>0.29139999999999999</v>
      </c>
      <c r="E49" s="581">
        <v>4.7309999999999999</v>
      </c>
      <c r="F49" s="581">
        <v>0.89800000000000002</v>
      </c>
      <c r="G49" s="581">
        <v>1.4782</v>
      </c>
      <c r="H49" s="581">
        <v>1.7542</v>
      </c>
    </row>
    <row r="50" spans="1:8">
      <c r="A50" s="581">
        <v>44</v>
      </c>
      <c r="B50" s="581" t="s">
        <v>1563</v>
      </c>
      <c r="C50" s="581">
        <v>1.4077</v>
      </c>
      <c r="D50" s="581">
        <v>0.1492</v>
      </c>
      <c r="E50" s="581">
        <v>2.3473999999999999</v>
      </c>
      <c r="F50" s="581">
        <v>0.91979999999999995</v>
      </c>
      <c r="G50" s="581">
        <v>1.5651999999999999</v>
      </c>
      <c r="H50" s="581">
        <v>1.8612</v>
      </c>
    </row>
    <row r="51" spans="1:8">
      <c r="A51" s="581">
        <v>45</v>
      </c>
      <c r="B51" s="581" t="s">
        <v>1564</v>
      </c>
      <c r="C51" s="581">
        <v>1.8644000000000001</v>
      </c>
      <c r="D51" s="581">
        <v>0.22289999999999999</v>
      </c>
      <c r="E51" s="581">
        <v>3.3329</v>
      </c>
      <c r="F51" s="581">
        <v>0.93120000000000003</v>
      </c>
      <c r="G51" s="581">
        <v>2.8725000000000001</v>
      </c>
      <c r="H51" s="581">
        <v>4.2496999999999998</v>
      </c>
    </row>
    <row r="52" spans="1:8">
      <c r="A52" s="581">
        <v>46</v>
      </c>
      <c r="B52" s="581" t="s">
        <v>1565</v>
      </c>
      <c r="C52" s="581">
        <v>1.3202</v>
      </c>
      <c r="D52" s="581">
        <v>6.4000000000000001E-2</v>
      </c>
      <c r="E52" s="581">
        <v>3.0305</v>
      </c>
      <c r="F52" s="581">
        <v>0.88139999999999996</v>
      </c>
      <c r="G52" s="581">
        <v>2.6966000000000001</v>
      </c>
      <c r="H52" s="581">
        <v>1.4381999999999999</v>
      </c>
    </row>
    <row r="53" spans="1:8">
      <c r="A53" s="581">
        <v>47</v>
      </c>
      <c r="B53" s="581" t="s">
        <v>1566</v>
      </c>
      <c r="C53" s="581">
        <v>1.4658</v>
      </c>
      <c r="D53" s="581">
        <v>0.16289999999999999</v>
      </c>
      <c r="E53" s="581">
        <v>2.8620000000000001</v>
      </c>
      <c r="F53" s="581">
        <v>0.93010000000000004</v>
      </c>
      <c r="G53" s="581">
        <v>1.8758999999999999</v>
      </c>
      <c r="H53" s="581">
        <v>2.1783000000000001</v>
      </c>
    </row>
    <row r="54" spans="1:8">
      <c r="A54" s="581">
        <v>48</v>
      </c>
      <c r="B54" s="581" t="s">
        <v>1567</v>
      </c>
      <c r="C54" s="581">
        <v>1.4950000000000001</v>
      </c>
      <c r="D54" s="581">
        <v>0.28139999999999998</v>
      </c>
      <c r="E54" s="581">
        <v>4.8160999999999996</v>
      </c>
      <c r="F54" s="581">
        <v>0.97709999999999997</v>
      </c>
      <c r="G54" s="581">
        <v>1.4023000000000001</v>
      </c>
      <c r="H54" s="581">
        <v>1.6802999999999999</v>
      </c>
    </row>
    <row r="55" spans="1:8">
      <c r="A55" s="581">
        <v>49</v>
      </c>
      <c r="B55" s="581" t="s">
        <v>1568</v>
      </c>
      <c r="C55" s="581">
        <v>1.5566</v>
      </c>
      <c r="D55" s="581">
        <v>0.38040000000000002</v>
      </c>
      <c r="E55" s="581">
        <v>4.4412000000000003</v>
      </c>
      <c r="F55" s="581">
        <v>0.98470000000000002</v>
      </c>
      <c r="G55" s="581">
        <v>1.2989999999999999</v>
      </c>
      <c r="H55" s="581">
        <v>1.8318000000000001</v>
      </c>
    </row>
    <row r="56" spans="1:8">
      <c r="A56" s="581">
        <v>50</v>
      </c>
      <c r="B56" s="581" t="s">
        <v>1569</v>
      </c>
      <c r="C56" s="581">
        <v>1.5185999999999999</v>
      </c>
      <c r="D56" s="581">
        <v>0.35620000000000002</v>
      </c>
      <c r="E56" s="581">
        <v>12.3408</v>
      </c>
      <c r="F56" s="581">
        <v>0.95530000000000004</v>
      </c>
      <c r="G56" s="581">
        <v>1.3133999999999999</v>
      </c>
      <c r="H56" s="581">
        <v>1.2071000000000001</v>
      </c>
    </row>
    <row r="57" spans="1:8">
      <c r="A57" s="581">
        <v>51</v>
      </c>
      <c r="B57" s="581" t="s">
        <v>1570</v>
      </c>
      <c r="C57" s="581">
        <v>1.5744</v>
      </c>
      <c r="D57" s="581">
        <v>0.3044</v>
      </c>
      <c r="E57" s="581">
        <v>5.7248999999999999</v>
      </c>
      <c r="F57" s="581">
        <v>0.85829999999999995</v>
      </c>
      <c r="G57" s="581">
        <v>1.474</v>
      </c>
      <c r="H57" s="581">
        <v>1.6182000000000001</v>
      </c>
    </row>
    <row r="58" spans="1:8">
      <c r="A58" s="581">
        <v>52</v>
      </c>
      <c r="B58" s="581" t="s">
        <v>1571</v>
      </c>
      <c r="C58" s="581">
        <v>1.5088999999999999</v>
      </c>
      <c r="D58" s="581">
        <v>0.39989999999999998</v>
      </c>
      <c r="E58" s="581">
        <v>13.215199999999999</v>
      </c>
      <c r="F58" s="581">
        <v>0.95730000000000004</v>
      </c>
      <c r="G58" s="581">
        <v>1.2309000000000001</v>
      </c>
      <c r="H58" s="581">
        <v>1.1700999999999999</v>
      </c>
    </row>
    <row r="59" spans="1:8">
      <c r="A59" s="581">
        <v>53</v>
      </c>
      <c r="B59" s="581" t="s">
        <v>1572</v>
      </c>
      <c r="C59" s="581">
        <v>1.5515000000000001</v>
      </c>
      <c r="D59" s="581">
        <v>0.3871</v>
      </c>
      <c r="E59" s="581">
        <v>7.2333999999999996</v>
      </c>
      <c r="F59" s="581">
        <v>0.96760000000000002</v>
      </c>
      <c r="G59" s="581">
        <v>1.292</v>
      </c>
      <c r="H59" s="581">
        <v>1.4180999999999999</v>
      </c>
    </row>
    <row r="60" spans="1:8">
      <c r="A60" s="581">
        <v>54</v>
      </c>
      <c r="B60" s="581" t="s">
        <v>1573</v>
      </c>
      <c r="C60" s="581">
        <v>1.5696000000000001</v>
      </c>
      <c r="D60" s="581">
        <v>0.31909999999999999</v>
      </c>
      <c r="E60" s="581">
        <v>6.3017000000000003</v>
      </c>
      <c r="F60" s="581">
        <v>0.88280000000000003</v>
      </c>
      <c r="G60" s="581">
        <v>1.3663000000000001</v>
      </c>
      <c r="H60" s="581">
        <v>1.4859</v>
      </c>
    </row>
    <row r="61" spans="1:8">
      <c r="A61" s="581">
        <v>55</v>
      </c>
      <c r="B61" s="581" t="s">
        <v>1574</v>
      </c>
      <c r="C61" s="581">
        <v>1.5328999999999999</v>
      </c>
      <c r="D61" s="581">
        <v>0.43530000000000002</v>
      </c>
      <c r="E61" s="581">
        <v>12.992800000000001</v>
      </c>
      <c r="F61" s="581">
        <v>0.99780000000000002</v>
      </c>
      <c r="G61" s="581">
        <v>1.2306999999999999</v>
      </c>
      <c r="H61" s="581">
        <v>1.1919999999999999</v>
      </c>
    </row>
    <row r="62" spans="1:8">
      <c r="A62" s="581">
        <v>56</v>
      </c>
      <c r="B62" s="581" t="s">
        <v>1575</v>
      </c>
      <c r="C62" s="581">
        <v>1.5658000000000001</v>
      </c>
      <c r="D62" s="581">
        <v>0.45850000000000002</v>
      </c>
      <c r="E62" s="581">
        <v>19.146699999999999</v>
      </c>
      <c r="F62" s="581">
        <v>0.98280000000000001</v>
      </c>
      <c r="G62" s="581">
        <v>1.2355</v>
      </c>
      <c r="H62" s="581">
        <v>1.1308</v>
      </c>
    </row>
    <row r="63" spans="1:8">
      <c r="A63" s="581">
        <v>57</v>
      </c>
      <c r="B63" s="581" t="s">
        <v>1576</v>
      </c>
      <c r="C63" s="581">
        <v>1.5989</v>
      </c>
      <c r="D63" s="581">
        <v>0.40460000000000002</v>
      </c>
      <c r="E63" s="581">
        <v>13.6264</v>
      </c>
      <c r="F63" s="581">
        <v>0.97119999999999995</v>
      </c>
      <c r="G63" s="581">
        <v>1.3050999999999999</v>
      </c>
      <c r="H63" s="581">
        <v>1.2189000000000001</v>
      </c>
    </row>
    <row r="64" spans="1:8">
      <c r="A64" s="581">
        <v>58</v>
      </c>
      <c r="B64" s="581" t="s">
        <v>1577</v>
      </c>
      <c r="C64" s="581">
        <v>1.3835999999999999</v>
      </c>
      <c r="D64" s="581">
        <v>0.2268</v>
      </c>
      <c r="E64" s="581">
        <v>10.306800000000001</v>
      </c>
      <c r="F64" s="581">
        <v>0.88780000000000003</v>
      </c>
      <c r="G64" s="581">
        <v>1.3320000000000001</v>
      </c>
      <c r="H64" s="581">
        <v>1.1521999999999999</v>
      </c>
    </row>
    <row r="65" spans="1:8">
      <c r="A65" s="581">
        <v>59</v>
      </c>
      <c r="B65" s="581" t="s">
        <v>1578</v>
      </c>
      <c r="C65" s="581">
        <v>1.5307999999999999</v>
      </c>
      <c r="D65" s="581">
        <v>0.2414</v>
      </c>
      <c r="E65" s="581">
        <v>6.0823</v>
      </c>
      <c r="F65" s="581">
        <v>0.86919999999999997</v>
      </c>
      <c r="G65" s="581">
        <v>1.5823</v>
      </c>
      <c r="H65" s="581">
        <v>1.4723999999999999</v>
      </c>
    </row>
    <row r="66" spans="1:8">
      <c r="A66" s="581">
        <v>60</v>
      </c>
      <c r="B66" s="581" t="s">
        <v>1579</v>
      </c>
      <c r="C66" s="581">
        <v>1.4518</v>
      </c>
      <c r="D66" s="581">
        <v>0.3009</v>
      </c>
      <c r="E66" s="581">
        <v>14.14</v>
      </c>
      <c r="F66" s="581">
        <v>0.81369999999999998</v>
      </c>
      <c r="G66" s="581">
        <v>1.2963</v>
      </c>
      <c r="H66" s="581">
        <v>1.1285000000000001</v>
      </c>
    </row>
    <row r="67" spans="1:8">
      <c r="A67" s="581">
        <v>61</v>
      </c>
      <c r="B67" s="581" t="s">
        <v>1580</v>
      </c>
      <c r="C67" s="581">
        <v>1.585</v>
      </c>
      <c r="D67" s="581">
        <v>0.30980000000000002</v>
      </c>
      <c r="E67" s="581">
        <v>7.7439999999999998</v>
      </c>
      <c r="F67" s="581">
        <v>0.90769999999999995</v>
      </c>
      <c r="G67" s="581">
        <v>1.4172</v>
      </c>
      <c r="H67" s="581">
        <v>1.3968</v>
      </c>
    </row>
    <row r="68" spans="1:8">
      <c r="A68" s="581">
        <v>62</v>
      </c>
      <c r="B68" s="581" t="s">
        <v>1581</v>
      </c>
      <c r="C68" s="581">
        <v>0.75290000000000001</v>
      </c>
      <c r="D68" s="581">
        <v>0.1196</v>
      </c>
      <c r="E68" s="581">
        <v>3.2841999999999998</v>
      </c>
      <c r="F68" s="581">
        <v>0.46010000000000001</v>
      </c>
      <c r="G68" s="581">
        <v>0</v>
      </c>
      <c r="H68" s="581">
        <v>0</v>
      </c>
    </row>
    <row r="70" spans="1:8">
      <c r="C70" s="581">
        <f>SUM(C6:C68)</f>
        <v>86.392300000000006</v>
      </c>
      <c r="D70" s="581">
        <f t="shared" ref="D70:H70" si="0">SUM(D6:D68)</f>
        <v>13.176500000000001</v>
      </c>
      <c r="E70" s="581">
        <f t="shared" si="0"/>
        <v>333.65569999999997</v>
      </c>
      <c r="F70" s="581">
        <f t="shared" si="0"/>
        <v>43.369399999999985</v>
      </c>
      <c r="G70" s="581">
        <f t="shared" si="0"/>
        <v>89.370499999999993</v>
      </c>
      <c r="H70" s="581">
        <f t="shared" si="0"/>
        <v>97.116599999999977</v>
      </c>
    </row>
    <row r="71" spans="1:8">
      <c r="C71" s="581">
        <f>C70-SUM(mercer!B2:B63)</f>
        <v>-0.14939999999999998</v>
      </c>
      <c r="D71" s="581">
        <f>D70-SUM(mercer!C2:C63)</f>
        <v>-2.6799999999999713E-2</v>
      </c>
      <c r="E71" s="581">
        <f>E70-SUM(mercer!D2:D63)</f>
        <v>-7.2469000000000392</v>
      </c>
      <c r="F71" s="581">
        <f>F70-SUM(mercer!E2:E63)</f>
        <v>-2.3341000000000207</v>
      </c>
      <c r="G71" s="581">
        <f>G70-SUM(mercer!F2:F63)</f>
        <v>-0.6086000000000098</v>
      </c>
      <c r="H71" s="581">
        <f>H70-SUM(mercer!G2:G63)</f>
        <v>3.4362999999999602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H71"/>
  <sheetViews>
    <sheetView topLeftCell="A69" workbookViewId="0">
      <selection activeCell="D69" sqref="D69"/>
    </sheetView>
  </sheetViews>
  <sheetFormatPr defaultColWidth="9.109375" defaultRowHeight="14.4"/>
  <cols>
    <col min="1" max="16384" width="9.109375" style="581"/>
  </cols>
  <sheetData>
    <row r="1" spans="1:8">
      <c r="A1" s="581" t="s">
        <v>1513</v>
      </c>
    </row>
    <row r="2" spans="1:8">
      <c r="A2" s="581" t="s">
        <v>1589</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1.5264</v>
      </c>
      <c r="D7" s="581">
        <v>0.40860000000000002</v>
      </c>
      <c r="E7" s="581">
        <v>17.949100000000001</v>
      </c>
      <c r="F7" s="581">
        <v>0.69740000000000002</v>
      </c>
      <c r="G7" s="581">
        <v>1.3269</v>
      </c>
      <c r="H7" s="581">
        <v>1.2229000000000001</v>
      </c>
    </row>
    <row r="8" spans="1:8">
      <c r="A8" s="581">
        <v>2</v>
      </c>
      <c r="B8" s="581" t="s">
        <v>1521</v>
      </c>
      <c r="C8" s="581">
        <v>1.6091</v>
      </c>
      <c r="D8" s="581">
        <v>0.69430000000000003</v>
      </c>
      <c r="E8" s="581">
        <v>30.790500000000002</v>
      </c>
      <c r="F8" s="581">
        <v>1.0219</v>
      </c>
      <c r="G8" s="581">
        <v>1.1592</v>
      </c>
      <c r="H8" s="581">
        <v>1.0875999999999999</v>
      </c>
    </row>
    <row r="9" spans="1:8">
      <c r="A9" s="581">
        <v>3</v>
      </c>
      <c r="B9" s="581" t="s">
        <v>1522</v>
      </c>
      <c r="C9" s="581">
        <v>1</v>
      </c>
      <c r="D9" s="581">
        <v>0</v>
      </c>
      <c r="E9" s="581">
        <v>0</v>
      </c>
      <c r="F9" s="581">
        <v>0</v>
      </c>
      <c r="G9" s="581">
        <v>0</v>
      </c>
      <c r="H9" s="581">
        <v>0</v>
      </c>
    </row>
    <row r="10" spans="1:8">
      <c r="A10" s="581">
        <v>4</v>
      </c>
      <c r="B10" s="581" t="s">
        <v>1523</v>
      </c>
      <c r="C10" s="581">
        <v>1</v>
      </c>
      <c r="D10" s="581">
        <v>0</v>
      </c>
      <c r="E10" s="581">
        <v>0</v>
      </c>
      <c r="F10" s="581">
        <v>0</v>
      </c>
      <c r="G10" s="581">
        <v>0</v>
      </c>
      <c r="H10" s="581">
        <v>0</v>
      </c>
    </row>
    <row r="11" spans="1:8">
      <c r="A11" s="581">
        <v>5</v>
      </c>
      <c r="B11" s="581" t="s">
        <v>1524</v>
      </c>
      <c r="C11" s="581">
        <v>1.5107999999999999</v>
      </c>
      <c r="D11" s="581">
        <v>0.19409999999999999</v>
      </c>
      <c r="E11" s="581">
        <v>3.8679999999999999</v>
      </c>
      <c r="F11" s="581">
        <v>0.62119999999999997</v>
      </c>
      <c r="G11" s="581">
        <v>1.7502</v>
      </c>
      <c r="H11" s="581">
        <v>1.6644000000000001</v>
      </c>
    </row>
    <row r="12" spans="1:8">
      <c r="A12" s="581">
        <v>6</v>
      </c>
      <c r="B12" s="581" t="s">
        <v>1525</v>
      </c>
      <c r="C12" s="581">
        <v>1.1557999999999999</v>
      </c>
      <c r="D12" s="581">
        <v>7.7399999999999997E-2</v>
      </c>
      <c r="E12" s="581">
        <v>1.0384</v>
      </c>
      <c r="F12" s="581">
        <v>0.66559999999999997</v>
      </c>
      <c r="G12" s="581">
        <v>1.6305000000000001</v>
      </c>
      <c r="H12" s="581">
        <v>2.3450000000000002</v>
      </c>
    </row>
    <row r="13" spans="1:8">
      <c r="A13" s="581">
        <v>7</v>
      </c>
      <c r="B13" s="581" t="s">
        <v>1526</v>
      </c>
      <c r="C13" s="581">
        <v>1.4717</v>
      </c>
      <c r="D13" s="581">
        <v>0.24260000000000001</v>
      </c>
      <c r="E13" s="581">
        <v>4.9363000000000001</v>
      </c>
      <c r="F13" s="581">
        <v>0.77149999999999996</v>
      </c>
      <c r="G13" s="581">
        <v>1.4469000000000001</v>
      </c>
      <c r="H13" s="581">
        <v>1.5424</v>
      </c>
    </row>
    <row r="14" spans="1:8">
      <c r="A14" s="581">
        <v>8</v>
      </c>
      <c r="B14" s="581" t="s">
        <v>1527</v>
      </c>
      <c r="C14" s="581">
        <v>1.4336</v>
      </c>
      <c r="D14" s="581">
        <v>0.13039999999999999</v>
      </c>
      <c r="E14" s="581">
        <v>2.9714999999999998</v>
      </c>
      <c r="F14" s="581">
        <v>0.51570000000000005</v>
      </c>
      <c r="G14" s="581">
        <v>1.9388000000000001</v>
      </c>
      <c r="H14" s="581">
        <v>1.7321</v>
      </c>
    </row>
    <row r="15" spans="1:8">
      <c r="A15" s="581">
        <v>9</v>
      </c>
      <c r="B15" s="581" t="s">
        <v>1528</v>
      </c>
      <c r="C15" s="581">
        <v>1.4381999999999999</v>
      </c>
      <c r="D15" s="581">
        <v>0.19570000000000001</v>
      </c>
      <c r="E15" s="581">
        <v>3.7974999999999999</v>
      </c>
      <c r="F15" s="581">
        <v>0.63080000000000003</v>
      </c>
      <c r="G15" s="581">
        <v>1.5472999999999999</v>
      </c>
      <c r="H15" s="581">
        <v>1.6076999999999999</v>
      </c>
    </row>
    <row r="16" spans="1:8">
      <c r="A16" s="581">
        <v>10</v>
      </c>
      <c r="B16" s="581" t="s">
        <v>1529</v>
      </c>
      <c r="C16" s="581">
        <v>1.5105999999999999</v>
      </c>
      <c r="D16" s="581">
        <v>0.1716</v>
      </c>
      <c r="E16" s="581">
        <v>3.0316000000000001</v>
      </c>
      <c r="F16" s="581">
        <v>0.4607</v>
      </c>
      <c r="G16" s="581">
        <v>1.6596</v>
      </c>
      <c r="H16" s="581">
        <v>1.7871999999999999</v>
      </c>
    </row>
    <row r="17" spans="1:8">
      <c r="A17" s="581">
        <v>11</v>
      </c>
      <c r="B17" s="581" t="s">
        <v>1530</v>
      </c>
      <c r="C17" s="581">
        <v>1.3953</v>
      </c>
      <c r="D17" s="581">
        <v>0.1401</v>
      </c>
      <c r="E17" s="581">
        <v>2.7307999999999999</v>
      </c>
      <c r="F17" s="581">
        <v>0.60829999999999995</v>
      </c>
      <c r="G17" s="581">
        <v>1.6702999999999999</v>
      </c>
      <c r="H17" s="581">
        <v>1.7036</v>
      </c>
    </row>
    <row r="18" spans="1:8">
      <c r="A18" s="581">
        <v>12</v>
      </c>
      <c r="B18" s="581" t="s">
        <v>1531</v>
      </c>
      <c r="C18" s="581">
        <v>1.4622999999999999</v>
      </c>
      <c r="D18" s="581">
        <v>0.1298</v>
      </c>
      <c r="E18" s="581">
        <v>2.2387000000000001</v>
      </c>
      <c r="F18" s="581">
        <v>0.60880000000000001</v>
      </c>
      <c r="G18" s="581">
        <v>2.0847000000000002</v>
      </c>
      <c r="H18" s="581">
        <v>2.2814000000000001</v>
      </c>
    </row>
    <row r="19" spans="1:8">
      <c r="A19" s="581">
        <v>13</v>
      </c>
      <c r="B19" s="581" t="s">
        <v>1532</v>
      </c>
      <c r="C19" s="581">
        <v>1.5109999999999999</v>
      </c>
      <c r="D19" s="581">
        <v>0.2238</v>
      </c>
      <c r="E19" s="581">
        <v>3.2761</v>
      </c>
      <c r="F19" s="581">
        <v>0.79710000000000003</v>
      </c>
      <c r="G19" s="581">
        <v>1.5834999999999999</v>
      </c>
      <c r="H19" s="581">
        <v>1.8644000000000001</v>
      </c>
    </row>
    <row r="20" spans="1:8">
      <c r="A20" s="581">
        <v>14</v>
      </c>
      <c r="B20" s="581" t="s">
        <v>1533</v>
      </c>
      <c r="C20" s="581">
        <v>1.4194</v>
      </c>
      <c r="D20" s="581">
        <v>0.18179999999999999</v>
      </c>
      <c r="E20" s="581">
        <v>3.3428</v>
      </c>
      <c r="F20" s="581">
        <v>0.63639999999999997</v>
      </c>
      <c r="G20" s="581">
        <v>1.5042</v>
      </c>
      <c r="H20" s="581">
        <v>1.5548</v>
      </c>
    </row>
    <row r="21" spans="1:8">
      <c r="A21" s="581">
        <v>15</v>
      </c>
      <c r="B21" s="581" t="s">
        <v>1534</v>
      </c>
      <c r="C21" s="581">
        <v>1.4374</v>
      </c>
      <c r="D21" s="581">
        <v>0.24410000000000001</v>
      </c>
      <c r="E21" s="581">
        <v>4.3609999999999998</v>
      </c>
      <c r="F21" s="581">
        <v>0.46970000000000001</v>
      </c>
      <c r="G21" s="581">
        <v>1.3834</v>
      </c>
      <c r="H21" s="581">
        <v>1.4739</v>
      </c>
    </row>
    <row r="22" spans="1:8">
      <c r="A22" s="581">
        <v>16</v>
      </c>
      <c r="B22" s="581" t="s">
        <v>1535</v>
      </c>
      <c r="C22" s="581">
        <v>1.5679000000000001</v>
      </c>
      <c r="D22" s="581">
        <v>0.23619999999999999</v>
      </c>
      <c r="E22" s="581">
        <v>4.4438000000000004</v>
      </c>
      <c r="F22" s="581">
        <v>0.66979999999999995</v>
      </c>
      <c r="G22" s="581">
        <v>1.6543000000000001</v>
      </c>
      <c r="H22" s="581">
        <v>1.6416999999999999</v>
      </c>
    </row>
    <row r="23" spans="1:8">
      <c r="A23" s="581">
        <v>17</v>
      </c>
      <c r="B23" s="581" t="s">
        <v>1536</v>
      </c>
      <c r="C23" s="581">
        <v>1.4308000000000001</v>
      </c>
      <c r="D23" s="581">
        <v>0.20880000000000001</v>
      </c>
      <c r="E23" s="581">
        <v>4.7239000000000004</v>
      </c>
      <c r="F23" s="581">
        <v>0.65720000000000001</v>
      </c>
      <c r="G23" s="581">
        <v>1.4876</v>
      </c>
      <c r="H23" s="581">
        <v>1.4745999999999999</v>
      </c>
    </row>
    <row r="24" spans="1:8">
      <c r="A24" s="581">
        <v>18</v>
      </c>
      <c r="B24" s="581" t="s">
        <v>1537</v>
      </c>
      <c r="C24" s="581">
        <v>1.3926000000000001</v>
      </c>
      <c r="D24" s="581">
        <v>0.28299999999999997</v>
      </c>
      <c r="E24" s="581">
        <v>4.8753000000000002</v>
      </c>
      <c r="F24" s="581">
        <v>0.74729999999999996</v>
      </c>
      <c r="G24" s="581">
        <v>1.2756000000000001</v>
      </c>
      <c r="H24" s="581">
        <v>1.389</v>
      </c>
    </row>
    <row r="25" spans="1:8">
      <c r="A25" s="581">
        <v>19</v>
      </c>
      <c r="B25" s="581" t="s">
        <v>1538</v>
      </c>
      <c r="C25" s="581">
        <v>1.4925999999999999</v>
      </c>
      <c r="D25" s="581">
        <v>0.1459</v>
      </c>
      <c r="E25" s="581">
        <v>3.9232</v>
      </c>
      <c r="F25" s="581">
        <v>0.50039999999999996</v>
      </c>
      <c r="G25" s="581">
        <v>2.4365999999999999</v>
      </c>
      <c r="H25" s="581">
        <v>2.9986999999999999</v>
      </c>
    </row>
    <row r="26" spans="1:8">
      <c r="A26" s="581">
        <v>20</v>
      </c>
      <c r="B26" s="581" t="s">
        <v>1539</v>
      </c>
      <c r="C26" s="581">
        <v>1.3898999999999999</v>
      </c>
      <c r="D26" s="581">
        <v>0.22550000000000001</v>
      </c>
      <c r="E26" s="581">
        <v>5.2465999999999999</v>
      </c>
      <c r="F26" s="581">
        <v>0.51719999999999999</v>
      </c>
      <c r="G26" s="581">
        <v>1.3794999999999999</v>
      </c>
      <c r="H26" s="581">
        <v>1.3415999999999999</v>
      </c>
    </row>
    <row r="27" spans="1:8">
      <c r="A27" s="581">
        <v>21</v>
      </c>
      <c r="B27" s="581" t="s">
        <v>1540</v>
      </c>
      <c r="C27" s="581">
        <v>1.4285000000000001</v>
      </c>
      <c r="D27" s="581">
        <v>0.14360000000000001</v>
      </c>
      <c r="E27" s="581">
        <v>3.3431999999999999</v>
      </c>
      <c r="F27" s="581">
        <v>0.67120000000000002</v>
      </c>
      <c r="G27" s="581">
        <v>1.9109</v>
      </c>
      <c r="H27" s="581">
        <v>1.6607000000000001</v>
      </c>
    </row>
    <row r="28" spans="1:8">
      <c r="A28" s="581">
        <v>22</v>
      </c>
      <c r="B28" s="581" t="s">
        <v>1541</v>
      </c>
      <c r="C28" s="581">
        <v>1.3088</v>
      </c>
      <c r="D28" s="581">
        <v>0.112</v>
      </c>
      <c r="E28" s="581">
        <v>1.9296</v>
      </c>
      <c r="F28" s="581">
        <v>0.53680000000000005</v>
      </c>
      <c r="G28" s="581">
        <v>1.7319</v>
      </c>
      <c r="H28" s="581">
        <v>1.8949</v>
      </c>
    </row>
    <row r="29" spans="1:8">
      <c r="A29" s="581">
        <v>23</v>
      </c>
      <c r="B29" s="581" t="s">
        <v>1542</v>
      </c>
      <c r="C29" s="581">
        <v>1.4892000000000001</v>
      </c>
      <c r="D29" s="581">
        <v>0.2266</v>
      </c>
      <c r="E29" s="581">
        <v>4.5749000000000004</v>
      </c>
      <c r="F29" s="581">
        <v>0.6522</v>
      </c>
      <c r="G29" s="581">
        <v>1.5003</v>
      </c>
      <c r="H29" s="581">
        <v>1.5408999999999999</v>
      </c>
    </row>
    <row r="30" spans="1:8">
      <c r="A30" s="581">
        <v>24</v>
      </c>
      <c r="B30" s="581" t="s">
        <v>1543</v>
      </c>
      <c r="C30" s="581">
        <v>1.0999000000000001</v>
      </c>
      <c r="D30" s="581">
        <v>5.9400000000000001E-2</v>
      </c>
      <c r="E30" s="581">
        <v>0.76939999999999997</v>
      </c>
      <c r="F30" s="581">
        <v>0.26190000000000002</v>
      </c>
      <c r="G30" s="581">
        <v>1.3591</v>
      </c>
      <c r="H30" s="581">
        <v>1.6740999999999999</v>
      </c>
    </row>
    <row r="31" spans="1:8">
      <c r="A31" s="581">
        <v>25</v>
      </c>
      <c r="B31" s="581" t="s">
        <v>1544</v>
      </c>
      <c r="C31" s="581">
        <v>1.3716999999999999</v>
      </c>
      <c r="D31" s="581">
        <v>0.1075</v>
      </c>
      <c r="E31" s="581">
        <v>1.4897</v>
      </c>
      <c r="F31" s="581">
        <v>0.53959999999999997</v>
      </c>
      <c r="G31" s="581">
        <v>2.0453999999999999</v>
      </c>
      <c r="H31" s="581">
        <v>3.0003000000000002</v>
      </c>
    </row>
    <row r="32" spans="1:8">
      <c r="A32" s="581">
        <v>26</v>
      </c>
      <c r="B32" s="581" t="s">
        <v>1545</v>
      </c>
      <c r="C32" s="581">
        <v>1.3187</v>
      </c>
      <c r="D32" s="581">
        <v>0.1187</v>
      </c>
      <c r="E32" s="581">
        <v>2.3599000000000001</v>
      </c>
      <c r="F32" s="581">
        <v>0.49580000000000002</v>
      </c>
      <c r="G32" s="581">
        <v>1.5889</v>
      </c>
      <c r="H32" s="581">
        <v>1.5999000000000001</v>
      </c>
    </row>
    <row r="33" spans="1:8">
      <c r="A33" s="581">
        <v>27</v>
      </c>
      <c r="B33" s="581" t="s">
        <v>1546</v>
      </c>
      <c r="C33" s="581">
        <v>1.3797999999999999</v>
      </c>
      <c r="D33" s="581">
        <v>0.22170000000000001</v>
      </c>
      <c r="E33" s="581">
        <v>3.4761000000000002</v>
      </c>
      <c r="F33" s="581">
        <v>0.88119999999999998</v>
      </c>
      <c r="G33" s="581">
        <v>1.3924000000000001</v>
      </c>
      <c r="H33" s="581">
        <v>1.6384000000000001</v>
      </c>
    </row>
    <row r="34" spans="1:8">
      <c r="A34" s="581">
        <v>28</v>
      </c>
      <c r="B34" s="581" t="s">
        <v>1547</v>
      </c>
      <c r="C34" s="581">
        <v>1.3644000000000001</v>
      </c>
      <c r="D34" s="581">
        <v>0.25330000000000003</v>
      </c>
      <c r="E34" s="581">
        <v>8.3202999999999996</v>
      </c>
      <c r="F34" s="581">
        <v>0.89670000000000005</v>
      </c>
      <c r="G34" s="581">
        <v>1.2817000000000001</v>
      </c>
      <c r="H34" s="581">
        <v>1.1964999999999999</v>
      </c>
    </row>
    <row r="35" spans="1:8">
      <c r="A35" s="581">
        <v>29</v>
      </c>
      <c r="B35" s="581" t="s">
        <v>1548</v>
      </c>
      <c r="C35" s="581">
        <v>1.2825</v>
      </c>
      <c r="D35" s="581">
        <v>0.11310000000000001</v>
      </c>
      <c r="E35" s="581">
        <v>2.1417999999999999</v>
      </c>
      <c r="F35" s="581">
        <v>0.50609999999999999</v>
      </c>
      <c r="G35" s="581">
        <v>1.5028999999999999</v>
      </c>
      <c r="H35" s="581">
        <v>1.6865000000000001</v>
      </c>
    </row>
    <row r="36" spans="1:8">
      <c r="A36" s="581">
        <v>30</v>
      </c>
      <c r="B36" s="581" t="s">
        <v>1549</v>
      </c>
      <c r="C36" s="581">
        <v>1.5082</v>
      </c>
      <c r="D36" s="581">
        <v>0.2712</v>
      </c>
      <c r="E36" s="581">
        <v>4.3795000000000002</v>
      </c>
      <c r="F36" s="581">
        <v>0.69599999999999995</v>
      </c>
      <c r="G36" s="581">
        <v>1.4265000000000001</v>
      </c>
      <c r="H36" s="581">
        <v>1.6967000000000001</v>
      </c>
    </row>
    <row r="37" spans="1:8">
      <c r="A37" s="581">
        <v>31</v>
      </c>
      <c r="B37" s="581" t="s">
        <v>1550</v>
      </c>
      <c r="C37" s="581">
        <v>1</v>
      </c>
      <c r="D37" s="581">
        <v>0</v>
      </c>
      <c r="E37" s="581">
        <v>0</v>
      </c>
      <c r="F37" s="581">
        <v>0</v>
      </c>
      <c r="G37" s="581">
        <v>0</v>
      </c>
      <c r="H37" s="581">
        <v>0</v>
      </c>
    </row>
    <row r="38" spans="1:8">
      <c r="A38" s="581">
        <v>32</v>
      </c>
      <c r="B38" s="581" t="s">
        <v>1551</v>
      </c>
      <c r="C38" s="581">
        <v>1.4036</v>
      </c>
      <c r="D38" s="581">
        <v>0.15959999999999999</v>
      </c>
      <c r="E38" s="581">
        <v>3.4156</v>
      </c>
      <c r="F38" s="581">
        <v>0.6583</v>
      </c>
      <c r="G38" s="581">
        <v>1.5625</v>
      </c>
      <c r="H38" s="581">
        <v>1.6254</v>
      </c>
    </row>
    <row r="39" spans="1:8">
      <c r="A39" s="581">
        <v>33</v>
      </c>
      <c r="B39" s="581" t="s">
        <v>1552</v>
      </c>
      <c r="C39" s="581">
        <v>1.4047000000000001</v>
      </c>
      <c r="D39" s="581">
        <v>0.28460000000000002</v>
      </c>
      <c r="E39" s="581">
        <v>10.668100000000001</v>
      </c>
      <c r="F39" s="581">
        <v>0.77210000000000001</v>
      </c>
      <c r="G39" s="581">
        <v>1.2688999999999999</v>
      </c>
      <c r="H39" s="581">
        <v>1.1486000000000001</v>
      </c>
    </row>
    <row r="40" spans="1:8">
      <c r="A40" s="581">
        <v>34</v>
      </c>
      <c r="B40" s="581" t="s">
        <v>1553</v>
      </c>
      <c r="C40" s="581">
        <v>1.5851999999999999</v>
      </c>
      <c r="D40" s="581">
        <v>0.4703</v>
      </c>
      <c r="E40" s="581">
        <v>6.3417000000000003</v>
      </c>
      <c r="F40" s="581">
        <v>0.84019999999999995</v>
      </c>
      <c r="G40" s="581">
        <v>1.2513000000000001</v>
      </c>
      <c r="H40" s="581">
        <v>1.5475000000000001</v>
      </c>
    </row>
    <row r="41" spans="1:8">
      <c r="A41" s="581">
        <v>35</v>
      </c>
      <c r="B41" s="581" t="s">
        <v>1554</v>
      </c>
      <c r="C41" s="581">
        <v>1.2917000000000001</v>
      </c>
      <c r="D41" s="581">
        <v>0.25090000000000001</v>
      </c>
      <c r="E41" s="581">
        <v>5.3526999999999996</v>
      </c>
      <c r="F41" s="581">
        <v>0.85460000000000003</v>
      </c>
      <c r="G41" s="581">
        <v>1.2237</v>
      </c>
      <c r="H41" s="581">
        <v>1.2864</v>
      </c>
    </row>
    <row r="42" spans="1:8">
      <c r="A42" s="581">
        <v>36</v>
      </c>
      <c r="B42" s="581" t="s">
        <v>1555</v>
      </c>
      <c r="C42" s="581">
        <v>1.4963</v>
      </c>
      <c r="D42" s="581">
        <v>0.4793</v>
      </c>
      <c r="E42" s="581">
        <v>11.224600000000001</v>
      </c>
      <c r="F42" s="581">
        <v>0.99970000000000003</v>
      </c>
      <c r="G42" s="581">
        <v>1.1953</v>
      </c>
      <c r="H42" s="581">
        <v>1.222</v>
      </c>
    </row>
    <row r="43" spans="1:8">
      <c r="A43" s="581">
        <v>37</v>
      </c>
      <c r="B43" s="581" t="s">
        <v>1556</v>
      </c>
      <c r="C43" s="581">
        <v>1.4091</v>
      </c>
      <c r="D43" s="581">
        <v>0.1666</v>
      </c>
      <c r="E43" s="581">
        <v>2.8813</v>
      </c>
      <c r="F43" s="581">
        <v>0.69089999999999996</v>
      </c>
      <c r="G43" s="581">
        <v>1.7013</v>
      </c>
      <c r="H43" s="581">
        <v>2.0038</v>
      </c>
    </row>
    <row r="44" spans="1:8">
      <c r="A44" s="581">
        <v>38</v>
      </c>
      <c r="B44" s="581" t="s">
        <v>1557</v>
      </c>
      <c r="C44" s="581">
        <v>1.6383000000000001</v>
      </c>
      <c r="D44" s="581">
        <v>0.2303</v>
      </c>
      <c r="E44" s="581">
        <v>6.1924999999999999</v>
      </c>
      <c r="F44" s="581">
        <v>0.98470000000000002</v>
      </c>
      <c r="G44" s="581">
        <v>1.764</v>
      </c>
      <c r="H44" s="581">
        <v>1.6372</v>
      </c>
    </row>
    <row r="45" spans="1:8">
      <c r="A45" s="581">
        <v>39</v>
      </c>
      <c r="B45" s="581" t="s">
        <v>1558</v>
      </c>
      <c r="C45" s="581">
        <v>1.2162999999999999</v>
      </c>
      <c r="D45" s="581">
        <v>0.187</v>
      </c>
      <c r="E45" s="581">
        <v>2.2570999999999999</v>
      </c>
      <c r="F45" s="581">
        <v>0.57530000000000003</v>
      </c>
      <c r="G45" s="581">
        <v>1.2256</v>
      </c>
      <c r="H45" s="581">
        <v>1.6592</v>
      </c>
    </row>
    <row r="46" spans="1:8">
      <c r="A46" s="581">
        <v>40</v>
      </c>
      <c r="B46" s="581" t="s">
        <v>1559</v>
      </c>
      <c r="C46" s="581">
        <v>1.3341000000000001</v>
      </c>
      <c r="D46" s="581">
        <v>0.15709999999999999</v>
      </c>
      <c r="E46" s="581">
        <v>2.4786999999999999</v>
      </c>
      <c r="F46" s="581">
        <v>0.75349999999999995</v>
      </c>
      <c r="G46" s="581">
        <v>1.5174000000000001</v>
      </c>
      <c r="H46" s="581">
        <v>1.8952</v>
      </c>
    </row>
    <row r="47" spans="1:8">
      <c r="A47" s="581">
        <v>41</v>
      </c>
      <c r="B47" s="581" t="s">
        <v>1560</v>
      </c>
      <c r="C47" s="581">
        <v>1.3858999999999999</v>
      </c>
      <c r="D47" s="581">
        <v>0.13270000000000001</v>
      </c>
      <c r="E47" s="581">
        <v>2.2383999999999999</v>
      </c>
      <c r="F47" s="581">
        <v>0.71179999999999999</v>
      </c>
      <c r="G47" s="581">
        <v>1.8900999999999999</v>
      </c>
      <c r="H47" s="581">
        <v>2.6564999999999999</v>
      </c>
    </row>
    <row r="48" spans="1:8">
      <c r="A48" s="581">
        <v>42</v>
      </c>
      <c r="B48" s="581" t="s">
        <v>1561</v>
      </c>
      <c r="C48" s="581">
        <v>1.4729000000000001</v>
      </c>
      <c r="D48" s="581">
        <v>0.19520000000000001</v>
      </c>
      <c r="E48" s="581">
        <v>3.5171999999999999</v>
      </c>
      <c r="F48" s="581">
        <v>0.77700000000000002</v>
      </c>
      <c r="G48" s="581">
        <v>1.6574</v>
      </c>
      <c r="H48" s="581">
        <v>1.9596</v>
      </c>
    </row>
    <row r="49" spans="1:8">
      <c r="A49" s="581">
        <v>43</v>
      </c>
      <c r="B49" s="581" t="s">
        <v>1562</v>
      </c>
      <c r="C49" s="581">
        <v>1.5766</v>
      </c>
      <c r="D49" s="581">
        <v>0.45810000000000001</v>
      </c>
      <c r="E49" s="581">
        <v>7.1619999999999999</v>
      </c>
      <c r="F49" s="581">
        <v>0.88500000000000001</v>
      </c>
      <c r="G49" s="581">
        <v>1.2581</v>
      </c>
      <c r="H49" s="581">
        <v>1.4374</v>
      </c>
    </row>
    <row r="50" spans="1:8">
      <c r="A50" s="581">
        <v>44</v>
      </c>
      <c r="B50" s="581" t="s">
        <v>1563</v>
      </c>
      <c r="C50" s="581">
        <v>1.3918999999999999</v>
      </c>
      <c r="D50" s="581">
        <v>0.1338</v>
      </c>
      <c r="E50" s="581">
        <v>2.0547</v>
      </c>
      <c r="F50" s="581">
        <v>0.91720000000000002</v>
      </c>
      <c r="G50" s="581">
        <v>1.5572999999999999</v>
      </c>
      <c r="H50" s="581">
        <v>1.8087</v>
      </c>
    </row>
    <row r="51" spans="1:8">
      <c r="A51" s="581">
        <v>45</v>
      </c>
      <c r="B51" s="581" t="s">
        <v>1564</v>
      </c>
      <c r="C51" s="581">
        <v>1.3857999999999999</v>
      </c>
      <c r="D51" s="581">
        <v>0.21809999999999999</v>
      </c>
      <c r="E51" s="581">
        <v>2.9203000000000001</v>
      </c>
      <c r="F51" s="581">
        <v>0.66900000000000004</v>
      </c>
      <c r="G51" s="581">
        <v>1.5210999999999999</v>
      </c>
      <c r="H51" s="581">
        <v>2.0154999999999998</v>
      </c>
    </row>
    <row r="52" spans="1:8">
      <c r="A52" s="581">
        <v>46</v>
      </c>
      <c r="B52" s="581" t="s">
        <v>1565</v>
      </c>
      <c r="C52" s="581">
        <v>1.2765</v>
      </c>
      <c r="D52" s="581">
        <v>6.3700000000000007E-2</v>
      </c>
      <c r="E52" s="581">
        <v>3.2902</v>
      </c>
      <c r="F52" s="581">
        <v>0.85699999999999998</v>
      </c>
      <c r="G52" s="581">
        <v>2.3134000000000001</v>
      </c>
      <c r="H52" s="581">
        <v>1.3467</v>
      </c>
    </row>
    <row r="53" spans="1:8">
      <c r="A53" s="581">
        <v>47</v>
      </c>
      <c r="B53" s="581" t="s">
        <v>1566</v>
      </c>
      <c r="C53" s="581">
        <v>1.3911</v>
      </c>
      <c r="D53" s="581">
        <v>0.1779</v>
      </c>
      <c r="E53" s="581">
        <v>3.0611999999999999</v>
      </c>
      <c r="F53" s="581">
        <v>0.8861</v>
      </c>
      <c r="G53" s="581">
        <v>1.5258</v>
      </c>
      <c r="H53" s="581">
        <v>1.7344999999999999</v>
      </c>
    </row>
    <row r="54" spans="1:8">
      <c r="A54" s="581">
        <v>48</v>
      </c>
      <c r="B54" s="581" t="s">
        <v>1567</v>
      </c>
      <c r="C54" s="581">
        <v>1.4712000000000001</v>
      </c>
      <c r="D54" s="581">
        <v>0.30259999999999998</v>
      </c>
      <c r="E54" s="581">
        <v>5.0498000000000003</v>
      </c>
      <c r="F54" s="581">
        <v>0.96450000000000002</v>
      </c>
      <c r="G54" s="581">
        <v>1.3492999999999999</v>
      </c>
      <c r="H54" s="581">
        <v>1.5763</v>
      </c>
    </row>
    <row r="55" spans="1:8">
      <c r="A55" s="581">
        <v>49</v>
      </c>
      <c r="B55" s="581" t="s">
        <v>1568</v>
      </c>
      <c r="C55" s="581">
        <v>1.4218999999999999</v>
      </c>
      <c r="D55" s="581">
        <v>0.29809999999999998</v>
      </c>
      <c r="E55" s="581">
        <v>3.5026000000000002</v>
      </c>
      <c r="F55" s="581">
        <v>0.90910000000000002</v>
      </c>
      <c r="G55" s="581">
        <v>1.3109</v>
      </c>
      <c r="H55" s="581">
        <v>1.8607</v>
      </c>
    </row>
    <row r="56" spans="1:8">
      <c r="A56" s="581">
        <v>50</v>
      </c>
      <c r="B56" s="581" t="s">
        <v>1569</v>
      </c>
      <c r="C56" s="581">
        <v>1.4139999999999999</v>
      </c>
      <c r="D56" s="581">
        <v>0.2651</v>
      </c>
      <c r="E56" s="581">
        <v>9.1111000000000004</v>
      </c>
      <c r="F56" s="581">
        <v>0.88480000000000003</v>
      </c>
      <c r="G56" s="581">
        <v>1.3225</v>
      </c>
      <c r="H56" s="581">
        <v>1.206</v>
      </c>
    </row>
    <row r="57" spans="1:8">
      <c r="A57" s="581">
        <v>51</v>
      </c>
      <c r="B57" s="581" t="s">
        <v>1570</v>
      </c>
      <c r="C57" s="581">
        <v>1.4882</v>
      </c>
      <c r="D57" s="581">
        <v>0.33860000000000001</v>
      </c>
      <c r="E57" s="581">
        <v>6.2751000000000001</v>
      </c>
      <c r="F57" s="581">
        <v>0.81100000000000005</v>
      </c>
      <c r="G57" s="581">
        <v>1.3134999999999999</v>
      </c>
      <c r="H57" s="581">
        <v>1.4212</v>
      </c>
    </row>
    <row r="58" spans="1:8">
      <c r="A58" s="581">
        <v>52</v>
      </c>
      <c r="B58" s="581" t="s">
        <v>1571</v>
      </c>
      <c r="C58" s="581">
        <v>1.4676</v>
      </c>
      <c r="D58" s="581">
        <v>0.42430000000000001</v>
      </c>
      <c r="E58" s="581">
        <v>14.150700000000001</v>
      </c>
      <c r="F58" s="581">
        <v>0.93630000000000002</v>
      </c>
      <c r="G58" s="581">
        <v>1.2052</v>
      </c>
      <c r="H58" s="581">
        <v>1.1560999999999999</v>
      </c>
    </row>
    <row r="59" spans="1:8">
      <c r="A59" s="581">
        <v>53</v>
      </c>
      <c r="B59" s="581" t="s">
        <v>1572</v>
      </c>
      <c r="C59" s="581">
        <v>1.5271999999999999</v>
      </c>
      <c r="D59" s="581">
        <v>0.42980000000000002</v>
      </c>
      <c r="E59" s="581">
        <v>7.944</v>
      </c>
      <c r="F59" s="581">
        <v>0.95909999999999995</v>
      </c>
      <c r="G59" s="581">
        <v>1.2522</v>
      </c>
      <c r="H59" s="581">
        <v>1.3595999999999999</v>
      </c>
    </row>
    <row r="60" spans="1:8">
      <c r="A60" s="581">
        <v>54</v>
      </c>
      <c r="B60" s="581" t="s">
        <v>1573</v>
      </c>
      <c r="C60" s="581">
        <v>1.5172000000000001</v>
      </c>
      <c r="D60" s="581">
        <v>0.32590000000000002</v>
      </c>
      <c r="E60" s="581">
        <v>6.3977000000000004</v>
      </c>
      <c r="F60" s="581">
        <v>0.85660000000000003</v>
      </c>
      <c r="G60" s="581">
        <v>1.3170999999999999</v>
      </c>
      <c r="H60" s="581">
        <v>1.4237</v>
      </c>
    </row>
    <row r="61" spans="1:8">
      <c r="A61" s="581">
        <v>55</v>
      </c>
      <c r="B61" s="581" t="s">
        <v>1574</v>
      </c>
      <c r="C61" s="581">
        <v>1.3764000000000001</v>
      </c>
      <c r="D61" s="581">
        <v>0.25359999999999999</v>
      </c>
      <c r="E61" s="581">
        <v>7.4837999999999996</v>
      </c>
      <c r="F61" s="581">
        <v>0.90510000000000002</v>
      </c>
      <c r="G61" s="581">
        <v>1.2874000000000001</v>
      </c>
      <c r="H61" s="581">
        <v>1.2324999999999999</v>
      </c>
    </row>
    <row r="62" spans="1:8">
      <c r="A62" s="581">
        <v>56</v>
      </c>
      <c r="B62" s="581" t="s">
        <v>1575</v>
      </c>
      <c r="C62" s="581">
        <v>1.4944</v>
      </c>
      <c r="D62" s="581">
        <v>0.41570000000000001</v>
      </c>
      <c r="E62" s="581">
        <v>17.442799999999998</v>
      </c>
      <c r="F62" s="581">
        <v>0.94130000000000003</v>
      </c>
      <c r="G62" s="581">
        <v>1.2251000000000001</v>
      </c>
      <c r="H62" s="581">
        <v>1.1266</v>
      </c>
    </row>
    <row r="63" spans="1:8">
      <c r="A63" s="581">
        <v>57</v>
      </c>
      <c r="B63" s="581" t="s">
        <v>1576</v>
      </c>
      <c r="C63" s="581">
        <v>1.4843</v>
      </c>
      <c r="D63" s="581">
        <v>0.3523</v>
      </c>
      <c r="E63" s="581">
        <v>11.9061</v>
      </c>
      <c r="F63" s="581">
        <v>0.90610000000000002</v>
      </c>
      <c r="G63" s="581">
        <v>1.2774000000000001</v>
      </c>
      <c r="H63" s="581">
        <v>1.1972</v>
      </c>
    </row>
    <row r="64" spans="1:8">
      <c r="A64" s="581">
        <v>58</v>
      </c>
      <c r="B64" s="581" t="s">
        <v>1577</v>
      </c>
      <c r="C64" s="581">
        <v>1.3726</v>
      </c>
      <c r="D64" s="581">
        <v>0.22939999999999999</v>
      </c>
      <c r="E64" s="581">
        <v>10.480600000000001</v>
      </c>
      <c r="F64" s="581">
        <v>0.88300000000000001</v>
      </c>
      <c r="G64" s="581">
        <v>1.3198000000000001</v>
      </c>
      <c r="H64" s="581">
        <v>1.1477999999999999</v>
      </c>
    </row>
    <row r="65" spans="1:8">
      <c r="A65" s="581">
        <v>59</v>
      </c>
      <c r="B65" s="581" t="s">
        <v>1578</v>
      </c>
      <c r="C65" s="581">
        <v>1.4738</v>
      </c>
      <c r="D65" s="581">
        <v>0.21820000000000001</v>
      </c>
      <c r="E65" s="581">
        <v>5.5441000000000003</v>
      </c>
      <c r="F65" s="581">
        <v>0.83699999999999997</v>
      </c>
      <c r="G65" s="581">
        <v>1.5544</v>
      </c>
      <c r="H65" s="581">
        <v>1.4583999999999999</v>
      </c>
    </row>
    <row r="66" spans="1:8">
      <c r="A66" s="581">
        <v>60</v>
      </c>
      <c r="B66" s="581" t="s">
        <v>1579</v>
      </c>
      <c r="C66" s="581">
        <v>1.4181999999999999</v>
      </c>
      <c r="D66" s="581">
        <v>0.22989999999999999</v>
      </c>
      <c r="E66" s="581">
        <v>10.4839</v>
      </c>
      <c r="F66" s="581">
        <v>0.78969999999999996</v>
      </c>
      <c r="G66" s="581">
        <v>1.3775999999999999</v>
      </c>
      <c r="H66" s="581">
        <v>1.1635</v>
      </c>
    </row>
    <row r="67" spans="1:8">
      <c r="A67" s="581">
        <v>61</v>
      </c>
      <c r="B67" s="581" t="s">
        <v>1580</v>
      </c>
      <c r="C67" s="581">
        <v>1.4263999999999999</v>
      </c>
      <c r="D67" s="581">
        <v>0.25790000000000002</v>
      </c>
      <c r="E67" s="581">
        <v>6.4678000000000004</v>
      </c>
      <c r="F67" s="581">
        <v>0.81810000000000005</v>
      </c>
      <c r="G67" s="581">
        <v>1.3495999999999999</v>
      </c>
      <c r="H67" s="581">
        <v>1.3344</v>
      </c>
    </row>
    <row r="68" spans="1:8">
      <c r="A68" s="581">
        <v>62</v>
      </c>
      <c r="B68" s="581" t="s">
        <v>1581</v>
      </c>
      <c r="C68" s="581">
        <v>0.74739999999999995</v>
      </c>
      <c r="D68" s="581">
        <v>0.122</v>
      </c>
      <c r="E68" s="581">
        <v>3.3765000000000001</v>
      </c>
      <c r="F68" s="581">
        <v>0.46</v>
      </c>
      <c r="G68" s="581">
        <v>0</v>
      </c>
      <c r="H68" s="581">
        <v>0</v>
      </c>
    </row>
    <row r="70" spans="1:8">
      <c r="C70" s="581">
        <f>SUM(C6:C68)</f>
        <v>86.4679</v>
      </c>
      <c r="D70" s="581">
        <f t="shared" ref="D70:H70" si="0">SUM(D6:D68)</f>
        <v>13.989400000000002</v>
      </c>
      <c r="E70" s="581">
        <f t="shared" si="0"/>
        <v>341.00240000000002</v>
      </c>
      <c r="F70" s="581">
        <f t="shared" si="0"/>
        <v>43.428600000000017</v>
      </c>
      <c r="G70" s="581">
        <f t="shared" si="0"/>
        <v>87.55430000000004</v>
      </c>
      <c r="H70" s="581">
        <f t="shared" si="0"/>
        <v>93.950099999999978</v>
      </c>
    </row>
    <row r="71" spans="1:8">
      <c r="C71" s="581">
        <f>C70-SUM(hunterdon!B2:B63)</f>
        <v>0.77769999999998163</v>
      </c>
      <c r="D71" s="581">
        <f>D70-SUM(hunterdon!C2:C63)</f>
        <v>-0.26449999999999818</v>
      </c>
      <c r="E71" s="581">
        <f>E70-SUM(hunterdon!D2:D63)</f>
        <v>-20.832999999999913</v>
      </c>
      <c r="F71" s="581">
        <f>F70-SUM(hunterdon!E2:E63)</f>
        <v>-1.2868999999999815</v>
      </c>
      <c r="G71" s="581">
        <f>G70-SUM(hunterdon!F2:F63)</f>
        <v>2.1237000000000421</v>
      </c>
      <c r="H71" s="581">
        <f>H70-SUM(hunterdon!G2:G63)</f>
        <v>2.4977999999999696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H71"/>
  <sheetViews>
    <sheetView topLeftCell="A69" workbookViewId="0">
      <selection activeCell="D69" sqref="D69"/>
    </sheetView>
  </sheetViews>
  <sheetFormatPr defaultColWidth="9.109375" defaultRowHeight="14.4"/>
  <cols>
    <col min="1" max="16384" width="9.109375" style="581"/>
  </cols>
  <sheetData>
    <row r="1" spans="1:8">
      <c r="A1" s="581" t="s">
        <v>1513</v>
      </c>
    </row>
    <row r="2" spans="1:8">
      <c r="A2" s="581" t="s">
        <v>1588</v>
      </c>
    </row>
    <row r="3" spans="1:8">
      <c r="A3" s="581" t="s">
        <v>1515</v>
      </c>
    </row>
    <row r="6" spans="1:8">
      <c r="A6" s="581" t="s">
        <v>1516</v>
      </c>
      <c r="B6" s="581" t="s">
        <v>1517</v>
      </c>
      <c r="C6" s="581" t="s">
        <v>1</v>
      </c>
      <c r="D6" s="581" t="s">
        <v>2</v>
      </c>
      <c r="E6" s="581" t="s">
        <v>1518</v>
      </c>
      <c r="F6" s="581" t="s">
        <v>4</v>
      </c>
      <c r="G6" s="581" t="s">
        <v>5</v>
      </c>
      <c r="H6" s="581" t="s">
        <v>1519</v>
      </c>
    </row>
    <row r="7" spans="1:8">
      <c r="A7" s="581">
        <v>1</v>
      </c>
      <c r="B7" s="581" t="s">
        <v>1520</v>
      </c>
      <c r="C7" s="581">
        <v>1</v>
      </c>
      <c r="D7" s="581">
        <v>0</v>
      </c>
      <c r="E7" s="581">
        <v>0</v>
      </c>
      <c r="F7" s="581">
        <v>0</v>
      </c>
      <c r="G7" s="581">
        <v>0</v>
      </c>
      <c r="H7" s="581">
        <v>0</v>
      </c>
    </row>
    <row r="8" spans="1:8">
      <c r="A8" s="581">
        <v>2</v>
      </c>
      <c r="B8" s="581" t="s">
        <v>1521</v>
      </c>
      <c r="C8" s="581">
        <v>1</v>
      </c>
      <c r="D8" s="581">
        <v>0</v>
      </c>
      <c r="E8" s="581">
        <v>0</v>
      </c>
      <c r="F8" s="581">
        <v>0</v>
      </c>
      <c r="G8" s="581">
        <v>0</v>
      </c>
      <c r="H8" s="581">
        <v>0</v>
      </c>
    </row>
    <row r="9" spans="1:8">
      <c r="A9" s="581">
        <v>3</v>
      </c>
      <c r="B9" s="581" t="s">
        <v>1522</v>
      </c>
      <c r="C9" s="581">
        <v>1.2442</v>
      </c>
      <c r="D9" s="581">
        <v>0.184</v>
      </c>
      <c r="E9" s="581">
        <v>4.7808999999999999</v>
      </c>
      <c r="F9" s="581">
        <v>0.77569999999999995</v>
      </c>
      <c r="G9" s="581">
        <v>1.1637</v>
      </c>
      <c r="H9" s="581">
        <v>1.1578999999999999</v>
      </c>
    </row>
    <row r="10" spans="1:8">
      <c r="A10" s="581">
        <v>4</v>
      </c>
      <c r="B10" s="581" t="s">
        <v>1523</v>
      </c>
      <c r="C10" s="581">
        <v>1.4406000000000001</v>
      </c>
      <c r="D10" s="581">
        <v>0.12740000000000001</v>
      </c>
      <c r="E10" s="581">
        <v>2.2564000000000002</v>
      </c>
      <c r="F10" s="581">
        <v>0.76100000000000001</v>
      </c>
      <c r="G10" s="581">
        <v>1.5784</v>
      </c>
      <c r="H10" s="581">
        <v>1.8406</v>
      </c>
    </row>
    <row r="11" spans="1:8">
      <c r="A11" s="581">
        <v>5</v>
      </c>
      <c r="B11" s="581" t="s">
        <v>1524</v>
      </c>
      <c r="C11" s="581">
        <v>1.5981000000000001</v>
      </c>
      <c r="D11" s="581">
        <v>0.27739999999999998</v>
      </c>
      <c r="E11" s="581">
        <v>5.9694000000000003</v>
      </c>
      <c r="F11" s="581">
        <v>0.66669999999999996</v>
      </c>
      <c r="G11" s="581">
        <v>1.3232999999999999</v>
      </c>
      <c r="H11" s="581">
        <v>1.3588</v>
      </c>
    </row>
    <row r="12" spans="1:8">
      <c r="A12" s="581">
        <v>6</v>
      </c>
      <c r="B12" s="581" t="s">
        <v>1525</v>
      </c>
      <c r="C12" s="581">
        <v>1.0762</v>
      </c>
      <c r="D12" s="581">
        <v>3.1899999999999998E-2</v>
      </c>
      <c r="E12" s="581">
        <v>0.4274</v>
      </c>
      <c r="F12" s="581">
        <v>0.62080000000000002</v>
      </c>
      <c r="G12" s="581">
        <v>1.3331999999999999</v>
      </c>
      <c r="H12" s="581">
        <v>1.9131</v>
      </c>
    </row>
    <row r="13" spans="1:8">
      <c r="A13" s="581">
        <v>7</v>
      </c>
      <c r="B13" s="581" t="s">
        <v>1526</v>
      </c>
      <c r="C13" s="581">
        <v>1.3498000000000001</v>
      </c>
      <c r="D13" s="581">
        <v>0.1474</v>
      </c>
      <c r="E13" s="581">
        <v>3.0609999999999999</v>
      </c>
      <c r="F13" s="581">
        <v>0.70309999999999995</v>
      </c>
      <c r="G13" s="581">
        <v>1.3573</v>
      </c>
      <c r="H13" s="581">
        <v>1.4761</v>
      </c>
    </row>
    <row r="14" spans="1:8">
      <c r="A14" s="581">
        <v>8</v>
      </c>
      <c r="B14" s="581" t="s">
        <v>1527</v>
      </c>
      <c r="C14" s="581">
        <v>1.4293</v>
      </c>
      <c r="D14" s="581">
        <v>0.16270000000000001</v>
      </c>
      <c r="E14" s="581">
        <v>4.0377999999999998</v>
      </c>
      <c r="F14" s="581">
        <v>0.52439999999999998</v>
      </c>
      <c r="G14" s="581">
        <v>1.3761000000000001</v>
      </c>
      <c r="H14" s="581">
        <v>1.3392999999999999</v>
      </c>
    </row>
    <row r="15" spans="1:8">
      <c r="A15" s="581">
        <v>9</v>
      </c>
      <c r="B15" s="581" t="s">
        <v>1528</v>
      </c>
      <c r="C15" s="581">
        <v>1.5291999999999999</v>
      </c>
      <c r="D15" s="581">
        <v>0.22520000000000001</v>
      </c>
      <c r="E15" s="581">
        <v>4.4939</v>
      </c>
      <c r="F15" s="581">
        <v>0.67979999999999996</v>
      </c>
      <c r="G15" s="581">
        <v>1.3335999999999999</v>
      </c>
      <c r="H15" s="581">
        <v>1.4249000000000001</v>
      </c>
    </row>
    <row r="16" spans="1:8">
      <c r="A16" s="581">
        <v>10</v>
      </c>
      <c r="B16" s="581" t="s">
        <v>1529</v>
      </c>
      <c r="C16" s="581">
        <v>1.3146</v>
      </c>
      <c r="D16" s="581">
        <v>6.8099999999999994E-2</v>
      </c>
      <c r="E16" s="581">
        <v>1.2537</v>
      </c>
      <c r="F16" s="581">
        <v>0.39700000000000002</v>
      </c>
      <c r="G16" s="581">
        <v>1.702</v>
      </c>
      <c r="H16" s="581">
        <v>1.9094</v>
      </c>
    </row>
    <row r="17" spans="1:8">
      <c r="A17" s="581">
        <v>11</v>
      </c>
      <c r="B17" s="581" t="s">
        <v>1530</v>
      </c>
      <c r="C17" s="581">
        <v>1.3920999999999999</v>
      </c>
      <c r="D17" s="581">
        <v>0.1497</v>
      </c>
      <c r="E17" s="581">
        <v>3.0341999999999998</v>
      </c>
      <c r="F17" s="581">
        <v>0.62450000000000006</v>
      </c>
      <c r="G17" s="581">
        <v>1.3533999999999999</v>
      </c>
      <c r="H17" s="581">
        <v>1.4347000000000001</v>
      </c>
    </row>
    <row r="18" spans="1:8">
      <c r="A18" s="581">
        <v>12</v>
      </c>
      <c r="B18" s="581" t="s">
        <v>1531</v>
      </c>
      <c r="C18" s="581">
        <v>1.3299000000000001</v>
      </c>
      <c r="D18" s="581">
        <v>0.1018</v>
      </c>
      <c r="E18" s="581">
        <v>1.8049999999999999</v>
      </c>
      <c r="F18" s="581">
        <v>0.5464</v>
      </c>
      <c r="G18" s="581">
        <v>1.5025999999999999</v>
      </c>
      <c r="H18" s="581">
        <v>1.6908000000000001</v>
      </c>
    </row>
    <row r="19" spans="1:8">
      <c r="A19" s="581">
        <v>13</v>
      </c>
      <c r="B19" s="581" t="s">
        <v>1532</v>
      </c>
      <c r="C19" s="581">
        <v>1.4393</v>
      </c>
      <c r="D19" s="581">
        <v>0.15590000000000001</v>
      </c>
      <c r="E19" s="581">
        <v>2.3473000000000002</v>
      </c>
      <c r="F19" s="581">
        <v>0.75260000000000005</v>
      </c>
      <c r="G19" s="581">
        <v>1.4094</v>
      </c>
      <c r="H19" s="581">
        <v>1.7065999999999999</v>
      </c>
    </row>
    <row r="20" spans="1:8">
      <c r="A20" s="581">
        <v>14</v>
      </c>
      <c r="B20" s="581" t="s">
        <v>1533</v>
      </c>
      <c r="C20" s="581">
        <v>1.3434999999999999</v>
      </c>
      <c r="D20" s="581">
        <v>0.12540000000000001</v>
      </c>
      <c r="E20" s="581">
        <v>2.3822000000000001</v>
      </c>
      <c r="F20" s="581">
        <v>0.62270000000000003</v>
      </c>
      <c r="G20" s="581">
        <v>1.3847</v>
      </c>
      <c r="H20" s="581">
        <v>1.4782</v>
      </c>
    </row>
    <row r="21" spans="1:8">
      <c r="A21" s="581">
        <v>15</v>
      </c>
      <c r="B21" s="581" t="s">
        <v>1534</v>
      </c>
      <c r="C21" s="581">
        <v>1.2470000000000001</v>
      </c>
      <c r="D21" s="581">
        <v>9.7199999999999995E-2</v>
      </c>
      <c r="E21" s="581">
        <v>1.7383999999999999</v>
      </c>
      <c r="F21" s="581">
        <v>0.36349999999999999</v>
      </c>
      <c r="G21" s="581">
        <v>1.3559000000000001</v>
      </c>
      <c r="H21" s="581">
        <v>1.4454</v>
      </c>
    </row>
    <row r="22" spans="1:8">
      <c r="A22" s="581">
        <v>16</v>
      </c>
      <c r="B22" s="581" t="s">
        <v>1535</v>
      </c>
      <c r="C22" s="581">
        <v>1.3896999999999999</v>
      </c>
      <c r="D22" s="581">
        <v>0.23699999999999999</v>
      </c>
      <c r="E22" s="581">
        <v>4.7465000000000002</v>
      </c>
      <c r="F22" s="581">
        <v>0.57720000000000005</v>
      </c>
      <c r="G22" s="581">
        <v>1.2208000000000001</v>
      </c>
      <c r="H22" s="581">
        <v>1.2895000000000001</v>
      </c>
    </row>
    <row r="23" spans="1:8">
      <c r="A23" s="581">
        <v>17</v>
      </c>
      <c r="B23" s="581" t="s">
        <v>1536</v>
      </c>
      <c r="C23" s="581">
        <v>1.4079999999999999</v>
      </c>
      <c r="D23" s="581">
        <v>0.13789999999999999</v>
      </c>
      <c r="E23" s="581">
        <v>3.1736</v>
      </c>
      <c r="F23" s="581">
        <v>0.63549999999999995</v>
      </c>
      <c r="G23" s="581">
        <v>1.4283999999999999</v>
      </c>
      <c r="H23" s="581">
        <v>1.4400999999999999</v>
      </c>
    </row>
    <row r="24" spans="1:8">
      <c r="A24" s="581">
        <v>18</v>
      </c>
      <c r="B24" s="581" t="s">
        <v>1537</v>
      </c>
      <c r="C24" s="581">
        <v>1.3864000000000001</v>
      </c>
      <c r="D24" s="581">
        <v>0.13059999999999999</v>
      </c>
      <c r="E24" s="581">
        <v>2.3313999999999999</v>
      </c>
      <c r="F24" s="581">
        <v>0.73419999999999996</v>
      </c>
      <c r="G24" s="581">
        <v>1.4067000000000001</v>
      </c>
      <c r="H24" s="581">
        <v>1.5876999999999999</v>
      </c>
    </row>
    <row r="25" spans="1:8">
      <c r="A25" s="581">
        <v>19</v>
      </c>
      <c r="B25" s="581" t="s">
        <v>1538</v>
      </c>
      <c r="C25" s="581">
        <v>1.4054</v>
      </c>
      <c r="D25" s="581">
        <v>8.6199999999999999E-2</v>
      </c>
      <c r="E25" s="581">
        <v>1.8732</v>
      </c>
      <c r="F25" s="581">
        <v>0.46329999999999999</v>
      </c>
      <c r="G25" s="581">
        <v>1.7689999999999999</v>
      </c>
      <c r="H25" s="581">
        <v>1.7595000000000001</v>
      </c>
    </row>
    <row r="26" spans="1:8">
      <c r="A26" s="581">
        <v>20</v>
      </c>
      <c r="B26" s="581" t="s">
        <v>1539</v>
      </c>
      <c r="C26" s="581">
        <v>1.3985000000000001</v>
      </c>
      <c r="D26" s="581">
        <v>0.15670000000000001</v>
      </c>
      <c r="E26" s="581">
        <v>3.7328999999999999</v>
      </c>
      <c r="F26" s="581">
        <v>0.51149999999999995</v>
      </c>
      <c r="G26" s="581">
        <v>1.3622000000000001</v>
      </c>
      <c r="H26" s="581">
        <v>1.3564000000000001</v>
      </c>
    </row>
    <row r="27" spans="1:8">
      <c r="A27" s="581">
        <v>21</v>
      </c>
      <c r="B27" s="581" t="s">
        <v>1540</v>
      </c>
      <c r="C27" s="581">
        <v>1.6625000000000001</v>
      </c>
      <c r="D27" s="581">
        <v>0.1643</v>
      </c>
      <c r="E27" s="581">
        <v>4.2653999999999996</v>
      </c>
      <c r="F27" s="581">
        <v>0.7702</v>
      </c>
      <c r="G27" s="581">
        <v>1.8062</v>
      </c>
      <c r="H27" s="581">
        <v>1.7512000000000001</v>
      </c>
    </row>
    <row r="28" spans="1:8">
      <c r="A28" s="581">
        <v>22</v>
      </c>
      <c r="B28" s="581" t="s">
        <v>1541</v>
      </c>
      <c r="C28" s="581">
        <v>1.3794</v>
      </c>
      <c r="D28" s="581">
        <v>0.1178</v>
      </c>
      <c r="E28" s="581">
        <v>2.1152000000000002</v>
      </c>
      <c r="F28" s="581">
        <v>0.5776</v>
      </c>
      <c r="G28" s="581">
        <v>1.4693000000000001</v>
      </c>
      <c r="H28" s="581">
        <v>1.6761999999999999</v>
      </c>
    </row>
    <row r="29" spans="1:8">
      <c r="A29" s="581">
        <v>23</v>
      </c>
      <c r="B29" s="581" t="s">
        <v>1542</v>
      </c>
      <c r="C29" s="581">
        <v>1.4850000000000001</v>
      </c>
      <c r="D29" s="581">
        <v>0.1225</v>
      </c>
      <c r="E29" s="581">
        <v>2.6261999999999999</v>
      </c>
      <c r="F29" s="581">
        <v>0.64559999999999995</v>
      </c>
      <c r="G29" s="581">
        <v>1.6850000000000001</v>
      </c>
      <c r="H29" s="581">
        <v>1.8381000000000001</v>
      </c>
    </row>
    <row r="30" spans="1:8">
      <c r="A30" s="581">
        <v>24</v>
      </c>
      <c r="B30" s="581" t="s">
        <v>1543</v>
      </c>
      <c r="C30" s="581">
        <v>1.1056999999999999</v>
      </c>
      <c r="D30" s="581">
        <v>5.0999999999999997E-2</v>
      </c>
      <c r="E30" s="581">
        <v>0.66890000000000005</v>
      </c>
      <c r="F30" s="581">
        <v>0.26569999999999999</v>
      </c>
      <c r="G30" s="581">
        <v>1.2679</v>
      </c>
      <c r="H30" s="581">
        <v>1.5794999999999999</v>
      </c>
    </row>
    <row r="31" spans="1:8">
      <c r="A31" s="581">
        <v>25</v>
      </c>
      <c r="B31" s="581" t="s">
        <v>1544</v>
      </c>
      <c r="C31" s="581">
        <v>1.3997999999999999</v>
      </c>
      <c r="D31" s="581">
        <v>7.6799999999999993E-2</v>
      </c>
      <c r="E31" s="581">
        <v>1.0660000000000001</v>
      </c>
      <c r="F31" s="581">
        <v>0.5413</v>
      </c>
      <c r="G31" s="581">
        <v>1.8427</v>
      </c>
      <c r="H31" s="581">
        <v>2.706</v>
      </c>
    </row>
    <row r="32" spans="1:8">
      <c r="A32" s="581">
        <v>26</v>
      </c>
      <c r="B32" s="581" t="s">
        <v>1545</v>
      </c>
      <c r="C32" s="581">
        <v>1.4511000000000001</v>
      </c>
      <c r="D32" s="581">
        <v>9.9199999999999997E-2</v>
      </c>
      <c r="E32" s="581">
        <v>2.0127000000000002</v>
      </c>
      <c r="F32" s="581">
        <v>0.55679999999999996</v>
      </c>
      <c r="G32" s="581">
        <v>1.6508</v>
      </c>
      <c r="H32" s="581">
        <v>1.6968000000000001</v>
      </c>
    </row>
    <row r="33" spans="1:8">
      <c r="A33" s="581">
        <v>27</v>
      </c>
      <c r="B33" s="581" t="s">
        <v>1546</v>
      </c>
      <c r="C33" s="581">
        <v>1.4186000000000001</v>
      </c>
      <c r="D33" s="581">
        <v>0.1517</v>
      </c>
      <c r="E33" s="581">
        <v>2.5516999999999999</v>
      </c>
      <c r="F33" s="581">
        <v>0.90210000000000001</v>
      </c>
      <c r="G33" s="581">
        <v>1.4395</v>
      </c>
      <c r="H33" s="581">
        <v>1.8180000000000001</v>
      </c>
    </row>
    <row r="34" spans="1:8">
      <c r="A34" s="581">
        <v>28</v>
      </c>
      <c r="B34" s="581" t="s">
        <v>1547</v>
      </c>
      <c r="C34" s="581">
        <v>1.4375</v>
      </c>
      <c r="D34" s="581">
        <v>0.20349999999999999</v>
      </c>
      <c r="E34" s="581">
        <v>6.8411999999999997</v>
      </c>
      <c r="F34" s="581">
        <v>0.93640000000000001</v>
      </c>
      <c r="G34" s="581">
        <v>1.2767999999999999</v>
      </c>
      <c r="H34" s="581">
        <v>1.22</v>
      </c>
    </row>
    <row r="35" spans="1:8">
      <c r="A35" s="581">
        <v>29</v>
      </c>
      <c r="B35" s="581" t="s">
        <v>1548</v>
      </c>
      <c r="C35" s="581">
        <v>1.2750999999999999</v>
      </c>
      <c r="D35" s="581">
        <v>7.6600000000000001E-2</v>
      </c>
      <c r="E35" s="581">
        <v>1.5719000000000001</v>
      </c>
      <c r="F35" s="581">
        <v>0.52710000000000001</v>
      </c>
      <c r="G35" s="581">
        <v>1.7581</v>
      </c>
      <c r="H35" s="581">
        <v>2.1371000000000002</v>
      </c>
    </row>
    <row r="36" spans="1:8">
      <c r="A36" s="581">
        <v>30</v>
      </c>
      <c r="B36" s="581" t="s">
        <v>1549</v>
      </c>
      <c r="C36" s="581">
        <v>1.4020999999999999</v>
      </c>
      <c r="D36" s="581">
        <v>7.5899999999999995E-2</v>
      </c>
      <c r="E36" s="581">
        <v>1.3807</v>
      </c>
      <c r="F36" s="581">
        <v>0.63929999999999998</v>
      </c>
      <c r="G36" s="581">
        <v>2.1261000000000001</v>
      </c>
      <c r="H36" s="581">
        <v>2.8475000000000001</v>
      </c>
    </row>
    <row r="37" spans="1:8">
      <c r="A37" s="581">
        <v>31</v>
      </c>
      <c r="B37" s="581" t="s">
        <v>1550</v>
      </c>
      <c r="C37" s="581">
        <v>1.3491</v>
      </c>
      <c r="D37" s="581">
        <v>8.8700000000000001E-2</v>
      </c>
      <c r="E37" s="581">
        <v>1.5065</v>
      </c>
      <c r="F37" s="581">
        <v>0.58279999999999998</v>
      </c>
      <c r="G37" s="581">
        <v>1.9379999999999999</v>
      </c>
      <c r="H37" s="581">
        <v>3.1410999999999998</v>
      </c>
    </row>
    <row r="38" spans="1:8">
      <c r="A38" s="581">
        <v>32</v>
      </c>
      <c r="B38" s="581" t="s">
        <v>1551</v>
      </c>
      <c r="C38" s="581">
        <v>1.4924999999999999</v>
      </c>
      <c r="D38" s="581">
        <v>0.1618</v>
      </c>
      <c r="E38" s="581">
        <v>3.6352000000000002</v>
      </c>
      <c r="F38" s="581">
        <v>0.72919999999999996</v>
      </c>
      <c r="G38" s="581">
        <v>1.57</v>
      </c>
      <c r="H38" s="581">
        <v>1.7145999999999999</v>
      </c>
    </row>
    <row r="39" spans="1:8">
      <c r="A39" s="581">
        <v>33</v>
      </c>
      <c r="B39" s="581" t="s">
        <v>1552</v>
      </c>
      <c r="C39" s="581">
        <v>1.3675999999999999</v>
      </c>
      <c r="D39" s="581">
        <v>0.2944</v>
      </c>
      <c r="E39" s="581">
        <v>11.592000000000001</v>
      </c>
      <c r="F39" s="581">
        <v>0.76580000000000004</v>
      </c>
      <c r="G39" s="581">
        <v>1.1606000000000001</v>
      </c>
      <c r="H39" s="581">
        <v>1.1034999999999999</v>
      </c>
    </row>
    <row r="40" spans="1:8">
      <c r="A40" s="581">
        <v>34</v>
      </c>
      <c r="B40" s="581" t="s">
        <v>1553</v>
      </c>
      <c r="C40" s="581">
        <v>1</v>
      </c>
      <c r="D40" s="581">
        <v>0</v>
      </c>
      <c r="E40" s="581">
        <v>0</v>
      </c>
      <c r="F40" s="581">
        <v>0</v>
      </c>
      <c r="G40" s="581">
        <v>0</v>
      </c>
      <c r="H40" s="581">
        <v>0</v>
      </c>
    </row>
    <row r="41" spans="1:8">
      <c r="A41" s="581">
        <v>35</v>
      </c>
      <c r="B41" s="581" t="s">
        <v>1554</v>
      </c>
      <c r="C41" s="581">
        <v>1.3369</v>
      </c>
      <c r="D41" s="581">
        <v>0.1961</v>
      </c>
      <c r="E41" s="581">
        <v>4.2569999999999997</v>
      </c>
      <c r="F41" s="581">
        <v>0.88580000000000003</v>
      </c>
      <c r="G41" s="581">
        <v>1.2527999999999999</v>
      </c>
      <c r="H41" s="581">
        <v>1.3402000000000001</v>
      </c>
    </row>
    <row r="42" spans="1:8">
      <c r="A42" s="581">
        <v>36</v>
      </c>
      <c r="B42" s="581" t="s">
        <v>1555</v>
      </c>
      <c r="C42" s="581">
        <v>1.4926999999999999</v>
      </c>
      <c r="D42" s="581">
        <v>0.30199999999999999</v>
      </c>
      <c r="E42" s="581">
        <v>7.2451999999999996</v>
      </c>
      <c r="F42" s="581">
        <v>1.0005999999999999</v>
      </c>
      <c r="G42" s="581">
        <v>1.2312000000000001</v>
      </c>
      <c r="H42" s="581">
        <v>1.2895000000000001</v>
      </c>
    </row>
    <row r="43" spans="1:8">
      <c r="A43" s="581">
        <v>37</v>
      </c>
      <c r="B43" s="581" t="s">
        <v>1556</v>
      </c>
      <c r="C43" s="581">
        <v>1.5690999999999999</v>
      </c>
      <c r="D43" s="581">
        <v>0.1094</v>
      </c>
      <c r="E43" s="581">
        <v>2.1469999999999998</v>
      </c>
      <c r="F43" s="581">
        <v>0.76759999999999995</v>
      </c>
      <c r="G43" s="581">
        <v>2.1642000000000001</v>
      </c>
      <c r="H43" s="581">
        <v>2.8921000000000001</v>
      </c>
    </row>
    <row r="44" spans="1:8">
      <c r="A44" s="581">
        <v>38</v>
      </c>
      <c r="B44" s="581" t="s">
        <v>1557</v>
      </c>
      <c r="C44" s="581">
        <v>1.4317</v>
      </c>
      <c r="D44" s="581">
        <v>0.13780000000000001</v>
      </c>
      <c r="E44" s="581">
        <v>3.9380999999999999</v>
      </c>
      <c r="F44" s="581">
        <v>0.85829999999999995</v>
      </c>
      <c r="G44" s="581">
        <v>1.4488000000000001</v>
      </c>
      <c r="H44" s="581">
        <v>1.4288000000000001</v>
      </c>
    </row>
    <row r="45" spans="1:8">
      <c r="A45" s="581">
        <v>39</v>
      </c>
      <c r="B45" s="581" t="s">
        <v>1558</v>
      </c>
      <c r="C45" s="581">
        <v>1.7082999999999999</v>
      </c>
      <c r="D45" s="581">
        <v>0.1139</v>
      </c>
      <c r="E45" s="581">
        <v>1.9583999999999999</v>
      </c>
      <c r="F45" s="581">
        <v>0.83389999999999997</v>
      </c>
      <c r="G45" s="581">
        <v>2.0962999999999998</v>
      </c>
      <c r="H45" s="581">
        <v>4.0426000000000002</v>
      </c>
    </row>
    <row r="46" spans="1:8">
      <c r="A46" s="581">
        <v>40</v>
      </c>
      <c r="B46" s="581" t="s">
        <v>1559</v>
      </c>
      <c r="C46" s="581">
        <v>1.427</v>
      </c>
      <c r="D46" s="581">
        <v>7.8799999999999995E-2</v>
      </c>
      <c r="E46" s="581">
        <v>1.4202999999999999</v>
      </c>
      <c r="F46" s="581">
        <v>0.80130000000000001</v>
      </c>
      <c r="G46" s="581">
        <v>1.9034</v>
      </c>
      <c r="H46" s="581">
        <v>2.7143000000000002</v>
      </c>
    </row>
    <row r="47" spans="1:8">
      <c r="A47" s="581">
        <v>41</v>
      </c>
      <c r="B47" s="581" t="s">
        <v>1560</v>
      </c>
      <c r="C47" s="581">
        <v>1.5178</v>
      </c>
      <c r="D47" s="581">
        <v>0.1026</v>
      </c>
      <c r="E47" s="581">
        <v>1.9802999999999999</v>
      </c>
      <c r="F47" s="581">
        <v>0.7843</v>
      </c>
      <c r="G47" s="581">
        <v>2.1027</v>
      </c>
      <c r="H47" s="581">
        <v>3.3809999999999998</v>
      </c>
    </row>
    <row r="48" spans="1:8">
      <c r="A48" s="581">
        <v>42</v>
      </c>
      <c r="B48" s="581" t="s">
        <v>1561</v>
      </c>
      <c r="C48" s="581">
        <v>1.6253</v>
      </c>
      <c r="D48" s="581">
        <v>0.109</v>
      </c>
      <c r="E48" s="581">
        <v>2.1495000000000002</v>
      </c>
      <c r="F48" s="581">
        <v>0.8508</v>
      </c>
      <c r="G48" s="581">
        <v>2.0893999999999999</v>
      </c>
      <c r="H48" s="581">
        <v>2.7044999999999999</v>
      </c>
    </row>
    <row r="49" spans="1:8">
      <c r="A49" s="581">
        <v>43</v>
      </c>
      <c r="B49" s="581" t="s">
        <v>1562</v>
      </c>
      <c r="C49" s="581">
        <v>1.5539000000000001</v>
      </c>
      <c r="D49" s="581">
        <v>0.1323</v>
      </c>
      <c r="E49" s="581">
        <v>2.3471000000000002</v>
      </c>
      <c r="F49" s="581">
        <v>0.85729999999999995</v>
      </c>
      <c r="G49" s="581">
        <v>1.6162000000000001</v>
      </c>
      <c r="H49" s="581">
        <v>2.0947</v>
      </c>
    </row>
    <row r="50" spans="1:8">
      <c r="A50" s="581">
        <v>44</v>
      </c>
      <c r="B50" s="581" t="s">
        <v>1563</v>
      </c>
      <c r="C50" s="581">
        <v>1.3864000000000001</v>
      </c>
      <c r="D50" s="581">
        <v>8.0399999999999999E-2</v>
      </c>
      <c r="E50" s="581">
        <v>1.3798999999999999</v>
      </c>
      <c r="F50" s="581">
        <v>0.90969999999999995</v>
      </c>
      <c r="G50" s="581">
        <v>1.6017999999999999</v>
      </c>
      <c r="H50" s="581">
        <v>2.0781999999999998</v>
      </c>
    </row>
    <row r="51" spans="1:8">
      <c r="A51" s="581">
        <v>45</v>
      </c>
      <c r="B51" s="581" t="s">
        <v>1564</v>
      </c>
      <c r="C51" s="581">
        <v>1.8571</v>
      </c>
      <c r="D51" s="581">
        <v>0.1031</v>
      </c>
      <c r="E51" s="581">
        <v>1.7069000000000001</v>
      </c>
      <c r="F51" s="581">
        <v>0.9214</v>
      </c>
      <c r="G51" s="581">
        <v>3.1985999999999999</v>
      </c>
      <c r="H51" s="581">
        <v>5.2386999999999997</v>
      </c>
    </row>
    <row r="52" spans="1:8">
      <c r="A52" s="581">
        <v>46</v>
      </c>
      <c r="B52" s="581" t="s">
        <v>1565</v>
      </c>
      <c r="C52" s="581">
        <v>1.3683000000000001</v>
      </c>
      <c r="D52" s="581">
        <v>5.91E-2</v>
      </c>
      <c r="E52" s="581">
        <v>3.4651000000000001</v>
      </c>
      <c r="F52" s="581">
        <v>0.90800000000000003</v>
      </c>
      <c r="G52" s="581">
        <v>1.9824999999999999</v>
      </c>
      <c r="H52" s="581">
        <v>1.3107</v>
      </c>
    </row>
    <row r="53" spans="1:8">
      <c r="A53" s="581">
        <v>47</v>
      </c>
      <c r="B53" s="581" t="s">
        <v>1566</v>
      </c>
      <c r="C53" s="581">
        <v>1.5396000000000001</v>
      </c>
      <c r="D53" s="581">
        <v>0.12470000000000001</v>
      </c>
      <c r="E53" s="581">
        <v>2.3422999999999998</v>
      </c>
      <c r="F53" s="581">
        <v>0.96919999999999995</v>
      </c>
      <c r="G53" s="581">
        <v>1.7604</v>
      </c>
      <c r="H53" s="581">
        <v>2.1850000000000001</v>
      </c>
    </row>
    <row r="54" spans="1:8">
      <c r="A54" s="581">
        <v>48</v>
      </c>
      <c r="B54" s="581" t="s">
        <v>1567</v>
      </c>
      <c r="C54" s="581">
        <v>1.4155</v>
      </c>
      <c r="D54" s="581">
        <v>0.17399999999999999</v>
      </c>
      <c r="E54" s="581">
        <v>3.0981999999999998</v>
      </c>
      <c r="F54" s="581">
        <v>0.9254</v>
      </c>
      <c r="G54" s="581">
        <v>1.3387</v>
      </c>
      <c r="H54" s="581">
        <v>1.6687000000000001</v>
      </c>
    </row>
    <row r="55" spans="1:8">
      <c r="A55" s="581">
        <v>49</v>
      </c>
      <c r="B55" s="581" t="s">
        <v>1568</v>
      </c>
      <c r="C55" s="581">
        <v>1.4478</v>
      </c>
      <c r="D55" s="581">
        <v>0.1789</v>
      </c>
      <c r="E55" s="581">
        <v>2.1978</v>
      </c>
      <c r="F55" s="581">
        <v>0.91239999999999999</v>
      </c>
      <c r="G55" s="581">
        <v>1.3202</v>
      </c>
      <c r="H55" s="581">
        <v>1.9592000000000001</v>
      </c>
    </row>
    <row r="56" spans="1:8">
      <c r="A56" s="581">
        <v>50</v>
      </c>
      <c r="B56" s="581" t="s">
        <v>1569</v>
      </c>
      <c r="C56" s="581">
        <v>1.4709000000000001</v>
      </c>
      <c r="D56" s="581">
        <v>0.24759999999999999</v>
      </c>
      <c r="E56" s="581">
        <v>8.8515999999999995</v>
      </c>
      <c r="F56" s="581">
        <v>0.92259999999999998</v>
      </c>
      <c r="G56" s="581">
        <v>1.2661</v>
      </c>
      <c r="H56" s="581">
        <v>1.2007000000000001</v>
      </c>
    </row>
    <row r="57" spans="1:8">
      <c r="A57" s="581">
        <v>51</v>
      </c>
      <c r="B57" s="581" t="s">
        <v>1570</v>
      </c>
      <c r="C57" s="581">
        <v>1.6117999999999999</v>
      </c>
      <c r="D57" s="581">
        <v>0.32040000000000002</v>
      </c>
      <c r="E57" s="581">
        <v>6.0658000000000003</v>
      </c>
      <c r="F57" s="581">
        <v>0.878</v>
      </c>
      <c r="G57" s="581">
        <v>1.347</v>
      </c>
      <c r="H57" s="581">
        <v>1.4888999999999999</v>
      </c>
    </row>
    <row r="58" spans="1:8">
      <c r="A58" s="581">
        <v>52</v>
      </c>
      <c r="B58" s="581" t="s">
        <v>1571</v>
      </c>
      <c r="C58" s="581">
        <v>1.5245</v>
      </c>
      <c r="D58" s="581">
        <v>0.34399999999999997</v>
      </c>
      <c r="E58" s="581">
        <v>11.712</v>
      </c>
      <c r="F58" s="581">
        <v>0.96579999999999999</v>
      </c>
      <c r="G58" s="581">
        <v>1.1738999999999999</v>
      </c>
      <c r="H58" s="581">
        <v>1.1496</v>
      </c>
    </row>
    <row r="59" spans="1:8">
      <c r="A59" s="581">
        <v>53</v>
      </c>
      <c r="B59" s="581" t="s">
        <v>1572</v>
      </c>
      <c r="C59" s="581">
        <v>1.5167999999999999</v>
      </c>
      <c r="D59" s="581">
        <v>0.29649999999999999</v>
      </c>
      <c r="E59" s="581">
        <v>5.6646999999999998</v>
      </c>
      <c r="F59" s="581">
        <v>0.94820000000000004</v>
      </c>
      <c r="G59" s="581">
        <v>1.2373000000000001</v>
      </c>
      <c r="H59" s="581">
        <v>1.389</v>
      </c>
    </row>
    <row r="60" spans="1:8">
      <c r="A60" s="581">
        <v>54</v>
      </c>
      <c r="B60" s="581" t="s">
        <v>1573</v>
      </c>
      <c r="C60" s="581">
        <v>1.5921000000000001</v>
      </c>
      <c r="D60" s="581">
        <v>0.2712</v>
      </c>
      <c r="E60" s="581">
        <v>5.6127000000000002</v>
      </c>
      <c r="F60" s="581">
        <v>0.89949999999999997</v>
      </c>
      <c r="G60" s="581">
        <v>1.2676000000000001</v>
      </c>
      <c r="H60" s="581">
        <v>1.4443999999999999</v>
      </c>
    </row>
    <row r="61" spans="1:8">
      <c r="A61" s="581">
        <v>55</v>
      </c>
      <c r="B61" s="581" t="s">
        <v>1574</v>
      </c>
      <c r="C61" s="581">
        <v>1.5286999999999999</v>
      </c>
      <c r="D61" s="581">
        <v>0.37990000000000002</v>
      </c>
      <c r="E61" s="581">
        <v>11.6614</v>
      </c>
      <c r="F61" s="581">
        <v>0.99480000000000002</v>
      </c>
      <c r="G61" s="581">
        <v>1.1679999999999999</v>
      </c>
      <c r="H61" s="581">
        <v>1.1631</v>
      </c>
    </row>
    <row r="62" spans="1:8">
      <c r="A62" s="581">
        <v>56</v>
      </c>
      <c r="B62" s="581" t="s">
        <v>1575</v>
      </c>
      <c r="C62" s="581">
        <v>1.5785</v>
      </c>
      <c r="D62" s="581">
        <v>0.37440000000000001</v>
      </c>
      <c r="E62" s="581">
        <v>16.132100000000001</v>
      </c>
      <c r="F62" s="581">
        <v>0.98780000000000001</v>
      </c>
      <c r="G62" s="581">
        <v>1.1867000000000001</v>
      </c>
      <c r="H62" s="581">
        <v>1.1207</v>
      </c>
    </row>
    <row r="63" spans="1:8">
      <c r="A63" s="581">
        <v>57</v>
      </c>
      <c r="B63" s="581" t="s">
        <v>1576</v>
      </c>
      <c r="C63" s="581">
        <v>1.4817</v>
      </c>
      <c r="D63" s="581">
        <v>0.13</v>
      </c>
      <c r="E63" s="581">
        <v>4.3600000000000003</v>
      </c>
      <c r="F63" s="581">
        <v>0.89639999999999997</v>
      </c>
      <c r="G63" s="581">
        <v>1.5769</v>
      </c>
      <c r="H63" s="581">
        <v>1.4663999999999999</v>
      </c>
    </row>
    <row r="64" spans="1:8">
      <c r="A64" s="581">
        <v>58</v>
      </c>
      <c r="B64" s="581" t="s">
        <v>1577</v>
      </c>
      <c r="C64" s="581">
        <v>1.5059</v>
      </c>
      <c r="D64" s="581">
        <v>0.31769999999999998</v>
      </c>
      <c r="E64" s="581">
        <v>15.495799999999999</v>
      </c>
      <c r="F64" s="581">
        <v>0.96</v>
      </c>
      <c r="G64" s="581">
        <v>1.1860999999999999</v>
      </c>
      <c r="H64" s="581">
        <v>1.1014999999999999</v>
      </c>
    </row>
    <row r="65" spans="1:8">
      <c r="A65" s="581">
        <v>59</v>
      </c>
      <c r="B65" s="581" t="s">
        <v>1578</v>
      </c>
      <c r="C65" s="581">
        <v>1.5385</v>
      </c>
      <c r="D65" s="581">
        <v>0.248</v>
      </c>
      <c r="E65" s="581">
        <v>6.6803999999999997</v>
      </c>
      <c r="F65" s="581">
        <v>0.86919999999999997</v>
      </c>
      <c r="G65" s="581">
        <v>1.2982</v>
      </c>
      <c r="H65" s="581">
        <v>1.2917000000000001</v>
      </c>
    </row>
    <row r="66" spans="1:8">
      <c r="A66" s="581">
        <v>60</v>
      </c>
      <c r="B66" s="581" t="s">
        <v>1579</v>
      </c>
      <c r="C66" s="581">
        <v>1.4812000000000001</v>
      </c>
      <c r="D66" s="581">
        <v>0.24279999999999999</v>
      </c>
      <c r="E66" s="581">
        <v>11.819599999999999</v>
      </c>
      <c r="F66" s="581">
        <v>0.82540000000000002</v>
      </c>
      <c r="G66" s="581">
        <v>1.2431000000000001</v>
      </c>
      <c r="H66" s="581">
        <v>1.121</v>
      </c>
    </row>
    <row r="67" spans="1:8">
      <c r="A67" s="581">
        <v>61</v>
      </c>
      <c r="B67" s="581" t="s">
        <v>1580</v>
      </c>
      <c r="C67" s="581">
        <v>1.5552999999999999</v>
      </c>
      <c r="D67" s="581">
        <v>0.22359999999999999</v>
      </c>
      <c r="E67" s="581">
        <v>5.7441000000000004</v>
      </c>
      <c r="F67" s="581">
        <v>0.88670000000000004</v>
      </c>
      <c r="G67" s="581">
        <v>1.3339000000000001</v>
      </c>
      <c r="H67" s="581">
        <v>1.3509</v>
      </c>
    </row>
    <row r="68" spans="1:8">
      <c r="A68" s="581">
        <v>62</v>
      </c>
      <c r="B68" s="581" t="s">
        <v>1581</v>
      </c>
      <c r="C68" s="581">
        <v>0.73899999999999999</v>
      </c>
      <c r="D68" s="581">
        <v>8.3299999999999999E-2</v>
      </c>
      <c r="E68" s="581">
        <v>2.5790999999999999</v>
      </c>
      <c r="F68" s="581">
        <v>0.44819999999999999</v>
      </c>
      <c r="G68" s="581">
        <v>0</v>
      </c>
      <c r="H68" s="581">
        <v>0</v>
      </c>
    </row>
    <row r="70" spans="1:8">
      <c r="C70" s="581">
        <f>SUM(C6:C68)</f>
        <v>87.750100000000018</v>
      </c>
      <c r="D70" s="581">
        <f t="shared" ref="D70:H70" si="0">SUM(D6:D68)</f>
        <v>9.7682000000000002</v>
      </c>
      <c r="E70" s="581">
        <f t="shared" si="0"/>
        <v>249.29120000000003</v>
      </c>
      <c r="F70" s="581">
        <f t="shared" si="0"/>
        <v>44.068399999999997</v>
      </c>
      <c r="G70" s="581">
        <f t="shared" si="0"/>
        <v>88.743700000000004</v>
      </c>
      <c r="H70" s="581">
        <f t="shared" si="0"/>
        <v>104.45469999999997</v>
      </c>
    </row>
    <row r="71" spans="1:8">
      <c r="C71" s="581">
        <f>C70-SUM(hudson!B2:B63)</f>
        <v>-1.4045999999999452</v>
      </c>
      <c r="D71" s="581">
        <f>D70-SUM(hudson!C2:C63)</f>
        <v>-0.63989999999999903</v>
      </c>
      <c r="E71" s="581">
        <f>E70-SUM(hudson!D2:D63)</f>
        <v>-35.251499999999936</v>
      </c>
      <c r="F71" s="581">
        <f>F70-SUM(hudson!E2:E63)</f>
        <v>-2.9406999999999996</v>
      </c>
      <c r="G71" s="581">
        <f>G70-SUM(hudson!F2:F63)</f>
        <v>-1.6981999999999999</v>
      </c>
      <c r="H71" s="581">
        <f>H70-SUM(hudson!G2:G63)</f>
        <v>3.6515999999999309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48</vt:i4>
      </vt:variant>
      <vt:variant>
        <vt:lpstr>Named Ranges</vt:lpstr>
      </vt:variant>
      <vt:variant>
        <vt:i4>11</vt:i4>
      </vt:variant>
    </vt:vector>
  </HeadingPairs>
  <TitlesOfParts>
    <vt:vector size="59" baseType="lpstr">
      <vt:lpstr>Assumptions</vt:lpstr>
      <vt:lpstr>Calculation&amp;Summary</vt:lpstr>
      <vt:lpstr>A. SOURCES AND USES</vt:lpstr>
      <vt:lpstr>Classifications</vt:lpstr>
      <vt:lpstr>City Prop. Value data</vt:lpstr>
      <vt:lpstr>Middlesex Mult.</vt:lpstr>
      <vt:lpstr>Mercer Mult.</vt:lpstr>
      <vt:lpstr>Hunterdon Mult.</vt:lpstr>
      <vt:lpstr>Hudson Mult.</vt:lpstr>
      <vt:lpstr>Gloucester Mult.</vt:lpstr>
      <vt:lpstr>Essex Mult.</vt:lpstr>
      <vt:lpstr>Cape May Mult.</vt:lpstr>
      <vt:lpstr>Camden Mult.</vt:lpstr>
      <vt:lpstr>Burlington Mult.</vt:lpstr>
      <vt:lpstr>Bergen Multi.</vt:lpstr>
      <vt:lpstr>Union Mult.</vt:lpstr>
      <vt:lpstr>atlantic</vt:lpstr>
      <vt:lpstr>bergen</vt:lpstr>
      <vt:lpstr>burlington</vt:lpstr>
      <vt:lpstr>camden</vt:lpstr>
      <vt:lpstr>capemay</vt:lpstr>
      <vt:lpstr>cumberland</vt:lpstr>
      <vt:lpstr>essex</vt:lpstr>
      <vt:lpstr>gloucester</vt:lpstr>
      <vt:lpstr>hudson</vt:lpstr>
      <vt:lpstr>hunterdon</vt:lpstr>
      <vt:lpstr>mercer</vt:lpstr>
      <vt:lpstr>middlesex</vt:lpstr>
      <vt:lpstr>monmouth</vt:lpstr>
      <vt:lpstr>morris</vt:lpstr>
      <vt:lpstr>ocean</vt:lpstr>
      <vt:lpstr>passaic</vt:lpstr>
      <vt:lpstr>salem</vt:lpstr>
      <vt:lpstr>somerset</vt:lpstr>
      <vt:lpstr>sussex</vt:lpstr>
      <vt:lpstr>union</vt:lpstr>
      <vt:lpstr>warren</vt:lpstr>
      <vt:lpstr>Atlantic Mult.</vt:lpstr>
      <vt:lpstr>Cumberland Mult.</vt:lpstr>
      <vt:lpstr>Monmouth Mult.</vt:lpstr>
      <vt:lpstr>Morris Mult.</vt:lpstr>
      <vt:lpstr>Ocean Mult.</vt:lpstr>
      <vt:lpstr>Passaic Mult.</vt:lpstr>
      <vt:lpstr>Salem Mult.</vt:lpstr>
      <vt:lpstr>Somerset Mult.</vt:lpstr>
      <vt:lpstr>Sussex Mult.</vt:lpstr>
      <vt:lpstr>Warren Mult.</vt:lpstr>
      <vt:lpstr>Sheet1</vt:lpstr>
      <vt:lpstr>'A. SOURCES AND USES'!_1CASH_FLOW</vt:lpstr>
      <vt:lpstr>'A. SOURCES AND USES'!_2DEBT_SVC</vt:lpstr>
      <vt:lpstr>'A. SOURCES AND USES'!_3SUMMARY_20</vt:lpstr>
      <vt:lpstr>'A. SOURCES AND USES'!DRAW</vt:lpstr>
      <vt:lpstr>'A. SOURCES AND USES'!Loan1_Fees</vt:lpstr>
      <vt:lpstr>'A. SOURCES AND USES'!Loan2_Fees</vt:lpstr>
      <vt:lpstr>'A. SOURCES AND USES'!Print_Area</vt:lpstr>
      <vt:lpstr>Assumptions!Print_Area</vt:lpstr>
      <vt:lpstr>'Calculation&amp;Summary'!Print_Area</vt:lpstr>
      <vt:lpstr>'A. SOURCES AND USES'!Print_Titles</vt:lpstr>
      <vt:lpstr>'A. SOURCES AND USES'!SUMMARY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dc:creator>
  <cp:lastModifiedBy>Default User</cp:lastModifiedBy>
  <cp:lastPrinted>2014-10-02T15:03:15Z</cp:lastPrinted>
  <dcterms:created xsi:type="dcterms:W3CDTF">2008-12-29T20:28:01Z</dcterms:created>
  <dcterms:modified xsi:type="dcterms:W3CDTF">2014-10-02T15:04:44Z</dcterms:modified>
</cp:coreProperties>
</file>