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kostyz\Desktop\AUDIT QUESTIONS OPRA 7-5-23\"/>
    </mc:Choice>
  </mc:AlternateContent>
  <xr:revisionPtr revIDLastSave="0" documentId="13_ncr:1_{FA137658-5452-403F-8848-8DE751415EB5}" xr6:coauthVersionLast="47" xr6:coauthVersionMax="47" xr10:uidLastSave="{00000000-0000-0000-0000-000000000000}"/>
  <bookViews>
    <workbookView xWindow="-120" yWindow="-120" windowWidth="29040" windowHeight="15720" activeTab="1" xr2:uid="{7E70A780-557E-436D-A55E-CD06E6146EEB}"/>
  </bookViews>
  <sheets>
    <sheet name="CURRENT FUND" sheetId="1" r:id="rId1"/>
    <sheet name="SEWER FUND" sheetId="2" r:id="rId2"/>
    <sheet name="BEACH FUND" sheetId="4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H16" i="1"/>
  <c r="H34" i="4"/>
  <c r="K51" i="1"/>
  <c r="K57" i="1"/>
  <c r="K60" i="1"/>
  <c r="K54" i="1"/>
  <c r="K53" i="1"/>
  <c r="H56" i="1"/>
  <c r="K56" i="1" s="1"/>
  <c r="K61" i="1" s="1"/>
  <c r="H52" i="1"/>
  <c r="K52" i="1" s="1"/>
  <c r="K58" i="1" l="1"/>
  <c r="K67" i="1" s="1"/>
  <c r="K71" i="1" s="1"/>
  <c r="H25" i="1"/>
  <c r="H21" i="1"/>
  <c r="K53" i="4" l="1"/>
  <c r="K54" i="4"/>
  <c r="K55" i="4"/>
  <c r="K56" i="4"/>
  <c r="H28" i="4"/>
  <c r="K28" i="4" s="1"/>
  <c r="K34" i="4"/>
  <c r="H57" i="4"/>
  <c r="K52" i="4"/>
  <c r="K51" i="4"/>
  <c r="K49" i="4"/>
  <c r="I40" i="4"/>
  <c r="I37" i="4"/>
  <c r="I34" i="4"/>
  <c r="K31" i="4"/>
  <c r="I31" i="4"/>
  <c r="K25" i="4"/>
  <c r="I25" i="4"/>
  <c r="K21" i="4"/>
  <c r="K17" i="4"/>
  <c r="K16" i="4"/>
  <c r="K14" i="4"/>
  <c r="H11" i="4"/>
  <c r="H22" i="4" s="1"/>
  <c r="K10" i="4"/>
  <c r="K9" i="4"/>
  <c r="H28" i="2"/>
  <c r="I28" i="2" s="1"/>
  <c r="K51" i="2"/>
  <c r="H57" i="2"/>
  <c r="K52" i="2"/>
  <c r="K49" i="2"/>
  <c r="I40" i="2"/>
  <c r="I37" i="2"/>
  <c r="K34" i="2"/>
  <c r="I34" i="2"/>
  <c r="K31" i="2"/>
  <c r="I31" i="2"/>
  <c r="K25" i="2"/>
  <c r="I25" i="2"/>
  <c r="K21" i="2"/>
  <c r="K17" i="2"/>
  <c r="K16" i="2"/>
  <c r="K14" i="2"/>
  <c r="H11" i="2"/>
  <c r="H22" i="2" s="1"/>
  <c r="I22" i="2" s="1"/>
  <c r="K10" i="2"/>
  <c r="K9" i="2"/>
  <c r="H57" i="1"/>
  <c r="K49" i="1"/>
  <c r="I40" i="1"/>
  <c r="I37" i="1"/>
  <c r="I34" i="1"/>
  <c r="K34" i="1"/>
  <c r="K31" i="1"/>
  <c r="K28" i="1"/>
  <c r="I28" i="1"/>
  <c r="K25" i="1"/>
  <c r="I25" i="1"/>
  <c r="K21" i="1"/>
  <c r="K17" i="1"/>
  <c r="K16" i="1"/>
  <c r="K14" i="1"/>
  <c r="I28" i="4" l="1"/>
  <c r="K11" i="4"/>
  <c r="K57" i="4"/>
  <c r="K64" i="4" s="1"/>
  <c r="K68" i="4" s="1"/>
  <c r="I22" i="4"/>
  <c r="H43" i="4"/>
  <c r="K28" i="2"/>
  <c r="K11" i="2"/>
  <c r="K57" i="2"/>
  <c r="K64" i="2" s="1"/>
  <c r="K68" i="2" s="1"/>
  <c r="H43" i="2"/>
  <c r="I31" i="1"/>
  <c r="K43" i="4" l="1"/>
  <c r="I43" i="4"/>
  <c r="I5" i="4" s="1"/>
  <c r="K43" i="2"/>
  <c r="I43" i="2"/>
  <c r="I5" i="2" s="1"/>
  <c r="K45" i="4" l="1"/>
  <c r="K45" i="2"/>
  <c r="K10" i="1" l="1"/>
  <c r="H11" i="1" l="1"/>
  <c r="H22" i="1" s="1"/>
  <c r="K9" i="1"/>
  <c r="K11" i="1" l="1"/>
  <c r="I22" i="1"/>
  <c r="H43" i="1"/>
  <c r="I43" i="1" l="1"/>
  <c r="I5" i="1" s="1"/>
  <c r="K43" i="1"/>
  <c r="K45" i="1" s="1"/>
</calcChain>
</file>

<file path=xl/sharedStrings.xml><?xml version="1.0" encoding="utf-8"?>
<sst xmlns="http://schemas.openxmlformats.org/spreadsheetml/2006/main" count="156" uniqueCount="62">
  <si>
    <t>Future Budget Projections</t>
  </si>
  <si>
    <t>Total Budget</t>
  </si>
  <si>
    <t>Employee Costs:</t>
  </si>
  <si>
    <t>Salaries &amp; Wages</t>
  </si>
  <si>
    <t>Sheet 17</t>
  </si>
  <si>
    <t>Sheet 25</t>
  </si>
  <si>
    <t>Total</t>
  </si>
  <si>
    <t>Social Security</t>
  </si>
  <si>
    <t>Sheet 19</t>
  </si>
  <si>
    <t>Pensions etc.</t>
  </si>
  <si>
    <t>Sheet 20</t>
  </si>
  <si>
    <t>Insurance</t>
  </si>
  <si>
    <t>Direct Employee Costs</t>
  </si>
  <si>
    <t>General Liability Insurance</t>
  </si>
  <si>
    <t>Debt Service:</t>
  </si>
  <si>
    <t>Sheet 27</t>
  </si>
  <si>
    <t>Reserve for Uncollected Taxes:</t>
  </si>
  <si>
    <t>Sheet 29</t>
  </si>
  <si>
    <t>Capital Funds:</t>
  </si>
  <si>
    <t>Sheet 26a</t>
  </si>
  <si>
    <t>Deferred Charges:</t>
  </si>
  <si>
    <t>Sheet 28</t>
  </si>
  <si>
    <t>Grants:</t>
  </si>
  <si>
    <t>Sheet 25 (less Salaries &amp; Wages above)</t>
  </si>
  <si>
    <t>All Other Departmental OE's:</t>
  </si>
  <si>
    <t>Various Line Items</t>
  </si>
  <si>
    <t>Projected Budget Totals</t>
  </si>
  <si>
    <t>Project Tax Results</t>
  </si>
  <si>
    <t>Budget Funding:</t>
  </si>
  <si>
    <t>Fund Balance</t>
  </si>
  <si>
    <t>Local Revenues</t>
  </si>
  <si>
    <t>State Aid</t>
  </si>
  <si>
    <t>Grants</t>
  </si>
  <si>
    <t>Delinquent Tax</t>
  </si>
  <si>
    <t>Local Purpose Tax</t>
  </si>
  <si>
    <t>Ratables</t>
  </si>
  <si>
    <t>Tax Rate</t>
  </si>
  <si>
    <t>Expected Excess in Taxes</t>
  </si>
  <si>
    <t>Extpected MRNA</t>
  </si>
  <si>
    <t>PROJECTED FUND BALANCE</t>
  </si>
  <si>
    <t>BOROUGH OF BRADLEY BEACH</t>
  </si>
  <si>
    <t>2023  BUDGET FUNDING</t>
  </si>
  <si>
    <t>SUMMARY OF 2023 BUDGET - CURRENT FUND PROJECTION</t>
  </si>
  <si>
    <t>SUMMARY OF 2023 BUDGET - SEWER FUND PROJECTION</t>
  </si>
  <si>
    <t>SUMMARY OF 2023 BUDGET - BEACH FUND PROJECTION</t>
  </si>
  <si>
    <t>Rents</t>
  </si>
  <si>
    <t>Sheet 32</t>
  </si>
  <si>
    <t>Sheet 33</t>
  </si>
  <si>
    <t>Sheet 32b</t>
  </si>
  <si>
    <t>Expected Excess in Rents</t>
  </si>
  <si>
    <t>Project Beach Results</t>
  </si>
  <si>
    <t>Project Sewer Results</t>
  </si>
  <si>
    <t>Bathing Badges</t>
  </si>
  <si>
    <t>Concession Rents</t>
  </si>
  <si>
    <t>Parking Meter Fees</t>
  </si>
  <si>
    <t>Locker Fees</t>
  </si>
  <si>
    <t>Beach Capital Fund Balance</t>
  </si>
  <si>
    <t>Sheet 15</t>
  </si>
  <si>
    <t>Sheet 15 &amp; 20</t>
  </si>
  <si>
    <t>Unspent Appropriation Reserves Lapsed</t>
  </si>
  <si>
    <t>Projected Fund Balance Change</t>
  </si>
  <si>
    <t>December 31, 2022 Fund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</si>
</sst>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* #,##0.000_);_(* \(#,##0.0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5" fillId="0" borderId="0" xfId="3" applyFont="1" applyAlignment="1">
      <alignment horizontal="left" vertical="center" wrapText="1"/>
    </xf>
    <xf numFmtId="0" fontId="6" fillId="2" borderId="0" xfId="0" applyFont="1" applyFill="1"/>
    <xf numFmtId="0" fontId="7" fillId="2" borderId="0" xfId="0" applyFont="1" applyFill="1"/>
    <xf numFmtId="164" fontId="6" fillId="2" borderId="0" xfId="2" applyNumberFormat="1" applyFont="1" applyFill="1"/>
    <xf numFmtId="164" fontId="6" fillId="2" borderId="0" xfId="4" applyNumberFormat="1" applyFont="1" applyFill="1"/>
    <xf numFmtId="49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43" fontId="6" fillId="2" borderId="0" xfId="1" applyFont="1" applyFill="1"/>
    <xf numFmtId="10" fontId="8" fillId="2" borderId="0" xfId="4" applyNumberFormat="1" applyFont="1" applyFill="1"/>
    <xf numFmtId="43" fontId="6" fillId="2" borderId="0" xfId="5" applyFont="1" applyFill="1"/>
    <xf numFmtId="43" fontId="4" fillId="0" borderId="0" xfId="5"/>
    <xf numFmtId="43" fontId="6" fillId="2" borderId="1" xfId="1" applyFont="1" applyFill="1" applyBorder="1"/>
    <xf numFmtId="9" fontId="8" fillId="2" borderId="0" xfId="4" applyFont="1" applyFill="1"/>
    <xf numFmtId="43" fontId="6" fillId="2" borderId="3" xfId="5" applyFont="1" applyFill="1" applyBorder="1"/>
    <xf numFmtId="43" fontId="7" fillId="2" borderId="4" xfId="1" applyFont="1" applyFill="1" applyBorder="1"/>
    <xf numFmtId="164" fontId="7" fillId="2" borderId="0" xfId="2" applyNumberFormat="1" applyFont="1" applyFill="1"/>
    <xf numFmtId="43" fontId="6" fillId="2" borderId="4" xfId="1" applyFont="1" applyFill="1" applyBorder="1"/>
    <xf numFmtId="43" fontId="6" fillId="2" borderId="4" xfId="0" applyNumberFormat="1" applyFont="1" applyFill="1" applyBorder="1"/>
    <xf numFmtId="9" fontId="8" fillId="2" borderId="0" xfId="4" applyFont="1" applyFill="1" applyAlignment="1">
      <alignment horizontal="right"/>
    </xf>
    <xf numFmtId="43" fontId="6" fillId="2" borderId="5" xfId="5" applyFont="1" applyFill="1" applyBorder="1"/>
    <xf numFmtId="0" fontId="0" fillId="2" borderId="0" xfId="0" applyFill="1"/>
    <xf numFmtId="0" fontId="9" fillId="2" borderId="0" xfId="0" applyFont="1" applyFill="1"/>
    <xf numFmtId="164" fontId="9" fillId="2" borderId="0" xfId="2" applyNumberFormat="1" applyFont="1" applyFill="1"/>
    <xf numFmtId="43" fontId="9" fillId="2" borderId="0" xfId="5" applyFont="1" applyFill="1"/>
    <xf numFmtId="43" fontId="10" fillId="2" borderId="1" xfId="5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49" fontId="9" fillId="2" borderId="1" xfId="0" applyNumberFormat="1" applyFont="1" applyFill="1" applyBorder="1" applyAlignment="1">
      <alignment horizontal="center"/>
    </xf>
    <xf numFmtId="0" fontId="10" fillId="2" borderId="0" xfId="0" applyFont="1" applyFill="1"/>
    <xf numFmtId="43" fontId="9" fillId="2" borderId="0" xfId="5" applyFont="1" applyFill="1" applyBorder="1"/>
    <xf numFmtId="43" fontId="9" fillId="2" borderId="4" xfId="5" applyFont="1" applyFill="1" applyBorder="1"/>
    <xf numFmtId="165" fontId="9" fillId="2" borderId="0" xfId="5" applyNumberFormat="1" applyFont="1" applyFill="1" applyBorder="1"/>
    <xf numFmtId="165" fontId="9" fillId="2" borderId="0" xfId="5" applyNumberFormat="1" applyFont="1" applyFill="1"/>
    <xf numFmtId="166" fontId="9" fillId="2" borderId="0" xfId="5" applyNumberFormat="1" applyFont="1" applyFill="1" applyBorder="1"/>
    <xf numFmtId="166" fontId="11" fillId="2" borderId="0" xfId="5" applyNumberFormat="1" applyFont="1" applyFill="1"/>
    <xf numFmtId="166" fontId="9" fillId="2" borderId="0" xfId="0" applyNumberFormat="1" applyFont="1" applyFill="1"/>
    <xf numFmtId="9" fontId="8" fillId="3" borderId="0" xfId="4" applyFont="1" applyFill="1"/>
    <xf numFmtId="166" fontId="11" fillId="3" borderId="0" xfId="5" applyNumberFormat="1" applyFont="1" applyFill="1"/>
    <xf numFmtId="43" fontId="12" fillId="2" borderId="0" xfId="5" applyFont="1" applyFill="1"/>
    <xf numFmtId="0" fontId="9" fillId="0" borderId="0" xfId="0" applyFont="1"/>
    <xf numFmtId="164" fontId="9" fillId="0" borderId="0" xfId="2" applyNumberFormat="1" applyFont="1"/>
    <xf numFmtId="164" fontId="1" fillId="0" borderId="0" xfId="2" applyNumberFormat="1"/>
    <xf numFmtId="43" fontId="6" fillId="2" borderId="2" xfId="1" applyFont="1" applyFill="1" applyBorder="1"/>
    <xf numFmtId="43" fontId="12" fillId="2" borderId="0" xfId="1" applyFont="1" applyFill="1"/>
    <xf numFmtId="43" fontId="0" fillId="0" borderId="0" xfId="1" applyFont="1"/>
    <xf numFmtId="0" fontId="0" fillId="0" borderId="0" xfId="0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</cellXfs>
  <cellStyles count="6">
    <cellStyle name="Comma" xfId="1" builtinId="3"/>
    <cellStyle name="Comma 5" xfId="5" xr:uid="{DC587431-F0BB-41F9-986D-9CEFFDC3A8E3}"/>
    <cellStyle name="Normal" xfId="0" builtinId="0"/>
    <cellStyle name="Normal_Advertisement" xfId="3" xr:uid="{EB8ABFB3-51CE-4636-95AD-DCC7A9DC477E}"/>
    <cellStyle name="Percent" xfId="2" builtinId="5"/>
    <cellStyle name="Percent 3" xfId="4" xr:uid="{B306E262-E8CF-4F7F-BA18-D506650A30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nnino/Desktop/2023%20Bradley%20Beach%20Budget%20-%20STATE%20FORM%20(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COA Codes"/>
      <sheetName val="Instructions"/>
      <sheetName val="Key Inputs"/>
      <sheetName val="Info"/>
      <sheetName val="Revenue Codes"/>
      <sheetName val="Appropriation Codes"/>
      <sheetName val="Other Codes"/>
      <sheetName val="Ranges"/>
      <sheetName val="Key Metrics"/>
      <sheetName val="Budget Projection Guide"/>
      <sheetName val="Budget Projection"/>
      <sheetName val="Advertisement"/>
      <sheetName val="Summary Data"/>
      <sheetName val="Budget Summary"/>
      <sheetName val="Tax Summary"/>
      <sheetName val="Reserve &amp; Tax Calculation"/>
      <sheetName val="Sheet A"/>
      <sheetName val="1"/>
      <sheetName val="1a"/>
      <sheetName val="2"/>
      <sheetName val="3"/>
      <sheetName val="3a"/>
      <sheetName val="App. CAP"/>
      <sheetName val="Health Ins."/>
      <sheetName val="2% Levy Cap"/>
      <sheetName val="3d"/>
      <sheetName val="4"/>
      <sheetName val="4a"/>
      <sheetName val="4b"/>
      <sheetName val="4c"/>
      <sheetName val="5"/>
      <sheetName val="6"/>
      <sheetName val="7"/>
      <sheetName val="7a"/>
      <sheetName val="7b"/>
      <sheetName val="8"/>
      <sheetName val="9"/>
      <sheetName val="9a"/>
      <sheetName val="9b"/>
      <sheetName val="9c"/>
      <sheetName val="9d"/>
      <sheetName val="9e"/>
      <sheetName val="9f"/>
      <sheetName val="9g"/>
      <sheetName val="9h"/>
      <sheetName val="9 TOTAL"/>
      <sheetName val="10"/>
      <sheetName val="10a"/>
      <sheetName val="10b"/>
      <sheetName val="10c"/>
      <sheetName val="10d"/>
      <sheetName val="10e"/>
      <sheetName val="10f"/>
      <sheetName val="10g"/>
      <sheetName val="10h"/>
      <sheetName val="10i"/>
      <sheetName val="10j"/>
      <sheetName val="10k"/>
      <sheetName val="10l"/>
      <sheetName val="10m"/>
      <sheetName val="10 TOTAL"/>
      <sheetName val="11"/>
      <sheetName val="12"/>
      <sheetName val="13"/>
      <sheetName val="14"/>
      <sheetName val="15"/>
      <sheetName val="15a"/>
      <sheetName val="15b"/>
      <sheetName val="15c"/>
      <sheetName val="15d"/>
      <sheetName val="15e"/>
      <sheetName val="15f"/>
      <sheetName val="15g"/>
      <sheetName val="15h"/>
      <sheetName val="15i"/>
      <sheetName val="15j"/>
      <sheetName val="15k"/>
      <sheetName val="15l"/>
      <sheetName val="15m"/>
      <sheetName val="15n"/>
      <sheetName val="16"/>
      <sheetName val="16a"/>
      <sheetName val="17"/>
      <sheetName val="17a"/>
      <sheetName val="18"/>
      <sheetName val="18a"/>
      <sheetName val="19"/>
      <sheetName val="20"/>
      <sheetName val="20a"/>
      <sheetName val="21"/>
      <sheetName val="22"/>
      <sheetName val="22a"/>
      <sheetName val="22b"/>
      <sheetName val="23"/>
      <sheetName val="24"/>
      <sheetName val="24a"/>
      <sheetName val="24b"/>
      <sheetName val="24c"/>
      <sheetName val="24d"/>
      <sheetName val="24e"/>
      <sheetName val="24f"/>
      <sheetName val="24g"/>
      <sheetName val="24h"/>
      <sheetName val="24i"/>
      <sheetName val="25"/>
      <sheetName val="26"/>
      <sheetName val="26a"/>
      <sheetName val="27"/>
      <sheetName val="27a"/>
      <sheetName val="28"/>
      <sheetName val="29"/>
      <sheetName val="30"/>
      <sheetName val="31-Utility1"/>
      <sheetName val="32-Utility1"/>
      <sheetName val="32a-Utility1"/>
      <sheetName val="32b-Utility1"/>
      <sheetName val="33-Utility1"/>
      <sheetName val="31-Utility2"/>
      <sheetName val="32-Utility2"/>
      <sheetName val="32a-Utility2"/>
      <sheetName val="32b-Utility2"/>
      <sheetName val="33-Utility2"/>
      <sheetName val="31-Utility3"/>
      <sheetName val="32-Utility3"/>
      <sheetName val="32a-Utility3"/>
      <sheetName val="32b-Utility3"/>
      <sheetName val="33-Utility3"/>
      <sheetName val="31-Utility4"/>
      <sheetName val="32-Utility4"/>
      <sheetName val="32a-Utility4"/>
      <sheetName val="32b-Utility4"/>
      <sheetName val="33-Utility4"/>
      <sheetName val="31-Utility5"/>
      <sheetName val="32-Utility5"/>
      <sheetName val="32a-Utility5"/>
      <sheetName val="32b-Utility5"/>
      <sheetName val="33-Utility5"/>
      <sheetName val="31-Utility6"/>
      <sheetName val="32-Utility6"/>
      <sheetName val="32a-Utility6"/>
      <sheetName val="32b-Utility6"/>
      <sheetName val="33-Utility6"/>
      <sheetName val="37"/>
      <sheetName val="38"/>
      <sheetName val="39"/>
      <sheetName val="40"/>
      <sheetName val="40a"/>
      <sheetName val="40b"/>
      <sheetName val="40b1"/>
      <sheetName val="40b2"/>
      <sheetName val="40b3"/>
      <sheetName val="40b4"/>
      <sheetName val="40b5"/>
      <sheetName val="40b6"/>
      <sheetName val="40b7"/>
      <sheetName val="40b Totals"/>
      <sheetName val="40c"/>
      <sheetName val="40c1"/>
      <sheetName val="40c2"/>
      <sheetName val="40c3"/>
      <sheetName val="40c4"/>
      <sheetName val="40c5"/>
      <sheetName val="40c6"/>
      <sheetName val="40c7"/>
      <sheetName val="40c Totals"/>
      <sheetName val="40d"/>
      <sheetName val="40d1"/>
      <sheetName val="40d2"/>
      <sheetName val="40d3"/>
      <sheetName val="40d4"/>
      <sheetName val="40d5"/>
      <sheetName val="40d6"/>
      <sheetName val="40d7"/>
      <sheetName val="40d Totals"/>
      <sheetName val="41"/>
      <sheetName val="42"/>
      <sheetName val="43"/>
      <sheetName val="44"/>
      <sheetName val="UEZ"/>
      <sheetName val="45"/>
      <sheetName val="Sheet1"/>
    </sheetNames>
    <sheetDataSet>
      <sheetData sheetId="0"/>
      <sheetData sheetId="1"/>
      <sheetData sheetId="2">
        <row r="34">
          <cell r="E34" t="str">
            <v>2023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5BA43-473D-45F2-80B9-FE2D871106A2}">
  <dimension ref="B2:M78"/>
  <sheetViews>
    <sheetView topLeftCell="A22" workbookViewId="0">
      <selection activeCell="K72" sqref="K72"/>
    </sheetView>
  </sheetViews>
  <sheetFormatPr defaultRowHeight="15" x14ac:dyDescent="0.25"/>
  <cols>
    <col min="1" max="1" width="2.7109375" customWidth="1"/>
    <col min="2" max="5" width="4.7109375" customWidth="1"/>
    <col min="6" max="6" width="10.7109375" customWidth="1"/>
    <col min="7" max="7" width="17" customWidth="1"/>
    <col min="8" max="8" width="17.42578125" bestFit="1" customWidth="1"/>
    <col min="9" max="9" width="10.7109375" customWidth="1"/>
    <col min="10" max="10" width="26.28515625" bestFit="1" customWidth="1"/>
    <col min="11" max="11" width="17.7109375" customWidth="1"/>
    <col min="12" max="12" width="15.7109375" customWidth="1"/>
    <col min="13" max="13" width="49.42578125" customWidth="1"/>
  </cols>
  <sheetData>
    <row r="2" spans="2:13" s="1" customFormat="1" ht="20.25" x14ac:dyDescent="0.3">
      <c r="B2" s="52" t="s">
        <v>40</v>
      </c>
      <c r="C2" s="52"/>
      <c r="D2" s="52"/>
      <c r="E2" s="52"/>
      <c r="F2" s="52"/>
      <c r="G2" s="52"/>
      <c r="H2" s="52"/>
      <c r="I2" s="52"/>
      <c r="J2" s="52"/>
      <c r="K2" s="52"/>
      <c r="M2" s="2"/>
    </row>
    <row r="3" spans="2:13" s="1" customFormat="1" ht="20.25" x14ac:dyDescent="0.3">
      <c r="B3" s="52" t="s">
        <v>42</v>
      </c>
      <c r="C3" s="52"/>
      <c r="D3" s="52"/>
      <c r="E3" s="52"/>
      <c r="F3" s="52"/>
      <c r="G3" s="52"/>
      <c r="H3" s="52"/>
      <c r="I3" s="52"/>
      <c r="J3" s="52"/>
      <c r="K3" s="52"/>
    </row>
    <row r="4" spans="2:13" x14ac:dyDescent="0.25">
      <c r="B4" s="3"/>
      <c r="C4" s="3"/>
      <c r="D4" s="3"/>
      <c r="E4" s="3"/>
      <c r="F4" s="3"/>
      <c r="G4" s="3"/>
      <c r="H4" s="3"/>
      <c r="I4" s="3"/>
      <c r="J4" s="3"/>
      <c r="K4" s="8" t="s">
        <v>0</v>
      </c>
    </row>
    <row r="5" spans="2:13" ht="15.75" thickBot="1" x14ac:dyDescent="0.3">
      <c r="B5" s="4" t="s">
        <v>1</v>
      </c>
      <c r="C5" s="3"/>
      <c r="D5" s="3"/>
      <c r="E5" s="3"/>
      <c r="F5" s="3"/>
      <c r="G5" s="9"/>
      <c r="H5" s="44">
        <v>11181872.210000001</v>
      </c>
      <c r="I5" s="5">
        <f>SUM(I9:I53)</f>
        <v>1</v>
      </c>
      <c r="J5" s="6"/>
      <c r="K5" s="7">
        <v>2024</v>
      </c>
    </row>
    <row r="6" spans="2:13" ht="9" customHeight="1" thickTop="1" x14ac:dyDescent="0.25">
      <c r="B6" s="3"/>
      <c r="C6" s="3"/>
      <c r="D6" s="3"/>
      <c r="E6" s="3"/>
      <c r="F6" s="3"/>
      <c r="G6" s="9"/>
      <c r="H6" s="9"/>
      <c r="I6" s="5"/>
      <c r="J6" s="3"/>
      <c r="K6" s="3"/>
    </row>
    <row r="7" spans="2:13" x14ac:dyDescent="0.25">
      <c r="B7" s="4" t="s">
        <v>2</v>
      </c>
      <c r="C7" s="3"/>
      <c r="D7" s="3"/>
      <c r="E7" s="3"/>
      <c r="F7" s="3"/>
      <c r="G7" s="9"/>
      <c r="H7" s="9"/>
      <c r="I7" s="5"/>
      <c r="J7" s="3"/>
      <c r="K7" s="3"/>
    </row>
    <row r="8" spans="2:13" x14ac:dyDescent="0.25">
      <c r="B8" s="3"/>
      <c r="C8" s="3" t="s">
        <v>3</v>
      </c>
      <c r="D8" s="3"/>
      <c r="E8" s="3"/>
      <c r="F8" s="3"/>
      <c r="G8" s="9"/>
      <c r="H8" s="9"/>
      <c r="I8" s="5"/>
      <c r="J8" s="3"/>
      <c r="K8" s="3"/>
    </row>
    <row r="9" spans="2:13" x14ac:dyDescent="0.25">
      <c r="B9" s="3"/>
      <c r="C9" s="3"/>
      <c r="D9" s="3" t="s">
        <v>4</v>
      </c>
      <c r="E9" s="3"/>
      <c r="F9" s="3"/>
      <c r="G9" s="9">
        <v>4389827</v>
      </c>
      <c r="H9" s="9"/>
      <c r="I9" s="5"/>
      <c r="J9" s="10">
        <v>1.03</v>
      </c>
      <c r="K9" s="11">
        <f>+G9*$J$9</f>
        <v>4521521.8100000005</v>
      </c>
      <c r="L9" s="12"/>
    </row>
    <row r="10" spans="2:13" x14ac:dyDescent="0.25">
      <c r="B10" s="3"/>
      <c r="C10" s="3"/>
      <c r="D10" s="3" t="s">
        <v>5</v>
      </c>
      <c r="E10" s="3"/>
      <c r="F10" s="3"/>
      <c r="G10" s="13">
        <v>0</v>
      </c>
      <c r="H10" s="9"/>
      <c r="I10" s="5"/>
      <c r="J10" s="10">
        <v>1.03</v>
      </c>
      <c r="K10" s="11">
        <f>+G10*$J$9</f>
        <v>0</v>
      </c>
    </row>
    <row r="11" spans="2:13" ht="15.75" thickBot="1" x14ac:dyDescent="0.3">
      <c r="B11" s="3"/>
      <c r="C11" s="3"/>
      <c r="D11" s="3"/>
      <c r="E11" s="3" t="s">
        <v>6</v>
      </c>
      <c r="F11" s="3"/>
      <c r="G11" s="9"/>
      <c r="H11" s="9">
        <f>SUM(G9:G10)</f>
        <v>4389827</v>
      </c>
      <c r="I11" s="5"/>
      <c r="J11" s="14"/>
      <c r="K11" s="15">
        <f>+K9+K10</f>
        <v>4521521.8100000005</v>
      </c>
    </row>
    <row r="12" spans="2:13" ht="9.75" customHeight="1" thickTop="1" x14ac:dyDescent="0.25">
      <c r="B12" s="3"/>
      <c r="C12" s="3"/>
      <c r="D12" s="3"/>
      <c r="E12" s="3"/>
      <c r="F12" s="3"/>
      <c r="G12" s="9"/>
      <c r="H12" s="9"/>
      <c r="I12" s="5"/>
      <c r="J12" s="14"/>
      <c r="K12" s="11"/>
    </row>
    <row r="13" spans="2:13" x14ac:dyDescent="0.25">
      <c r="B13" s="3"/>
      <c r="C13" s="3" t="s">
        <v>7</v>
      </c>
      <c r="D13" s="3"/>
      <c r="E13" s="3"/>
      <c r="F13" s="3"/>
      <c r="G13" s="9"/>
      <c r="H13" s="9"/>
      <c r="I13" s="5"/>
      <c r="J13" s="14"/>
      <c r="K13" s="11"/>
    </row>
    <row r="14" spans="2:13" x14ac:dyDescent="0.25">
      <c r="B14" s="3"/>
      <c r="C14" s="3"/>
      <c r="D14" s="3" t="s">
        <v>8</v>
      </c>
      <c r="E14" s="3"/>
      <c r="F14" s="3"/>
      <c r="G14" s="9"/>
      <c r="H14" s="9">
        <v>150000</v>
      </c>
      <c r="I14" s="5"/>
      <c r="J14" s="10">
        <v>1.03</v>
      </c>
      <c r="K14" s="11">
        <f>+H14*$J$14</f>
        <v>154500</v>
      </c>
    </row>
    <row r="15" spans="2:13" x14ac:dyDescent="0.25">
      <c r="B15" s="3"/>
      <c r="C15" s="3" t="s">
        <v>9</v>
      </c>
      <c r="D15" s="3"/>
      <c r="E15" s="3"/>
      <c r="F15" s="3"/>
      <c r="G15" s="9"/>
      <c r="H15" s="9"/>
      <c r="I15" s="5"/>
      <c r="J15" s="14"/>
      <c r="K15" s="11"/>
    </row>
    <row r="16" spans="2:13" x14ac:dyDescent="0.25">
      <c r="B16" s="3"/>
      <c r="C16" s="3"/>
      <c r="D16" s="3" t="s">
        <v>8</v>
      </c>
      <c r="E16" s="3"/>
      <c r="F16" s="3"/>
      <c r="G16" s="9"/>
      <c r="H16" s="9">
        <f>192386+56767</f>
        <v>249153</v>
      </c>
      <c r="I16" s="5"/>
      <c r="J16" s="10">
        <v>1.02</v>
      </c>
      <c r="K16" s="11">
        <f>+H16*$J$16</f>
        <v>254136.06</v>
      </c>
    </row>
    <row r="17" spans="2:11" x14ac:dyDescent="0.25">
      <c r="B17" s="3"/>
      <c r="C17" s="3"/>
      <c r="D17" s="3" t="s">
        <v>8</v>
      </c>
      <c r="E17" s="3"/>
      <c r="F17" s="3"/>
      <c r="G17" s="9"/>
      <c r="H17" s="9">
        <f>630246+105185</f>
        <v>735431</v>
      </c>
      <c r="I17" s="5"/>
      <c r="J17" s="10">
        <v>1.02</v>
      </c>
      <c r="K17" s="11">
        <f>+J17*$H$17</f>
        <v>750139.62</v>
      </c>
    </row>
    <row r="18" spans="2:11" x14ac:dyDescent="0.25">
      <c r="B18" s="3"/>
      <c r="C18" s="3"/>
      <c r="D18" s="3" t="s">
        <v>8</v>
      </c>
      <c r="E18" s="3"/>
      <c r="F18" s="3"/>
      <c r="G18" s="9"/>
      <c r="H18" s="9">
        <v>0</v>
      </c>
      <c r="I18" s="5"/>
      <c r="J18" s="14"/>
      <c r="K18" s="11"/>
    </row>
    <row r="19" spans="2:11" x14ac:dyDescent="0.25">
      <c r="B19" s="3"/>
      <c r="C19" s="3"/>
      <c r="D19" s="3" t="s">
        <v>10</v>
      </c>
      <c r="E19" s="3"/>
      <c r="F19" s="3"/>
      <c r="G19" s="9"/>
      <c r="H19" s="9">
        <v>0</v>
      </c>
      <c r="I19" s="5"/>
      <c r="J19" s="14"/>
      <c r="K19" s="11"/>
    </row>
    <row r="20" spans="2:11" x14ac:dyDescent="0.25">
      <c r="B20" s="3"/>
      <c r="C20" s="3" t="s">
        <v>11</v>
      </c>
      <c r="D20" s="3"/>
      <c r="E20" s="3"/>
      <c r="F20" s="3"/>
      <c r="G20" s="9"/>
      <c r="H20" s="9"/>
      <c r="I20" s="5"/>
      <c r="J20" s="14"/>
      <c r="K20" s="11"/>
    </row>
    <row r="21" spans="2:11" x14ac:dyDescent="0.25">
      <c r="B21" s="3"/>
      <c r="C21" s="3"/>
      <c r="D21" s="3" t="s">
        <v>58</v>
      </c>
      <c r="E21" s="3"/>
      <c r="F21" s="3"/>
      <c r="G21" s="9"/>
      <c r="H21" s="9">
        <f>953800+98200</f>
        <v>1052000</v>
      </c>
      <c r="I21" s="5"/>
      <c r="J21" s="10">
        <v>1.05</v>
      </c>
      <c r="K21" s="11">
        <f>+H21*$J$21</f>
        <v>1104600</v>
      </c>
    </row>
    <row r="22" spans="2:11" x14ac:dyDescent="0.25">
      <c r="B22" s="3"/>
      <c r="C22" s="3" t="s">
        <v>12</v>
      </c>
      <c r="D22" s="3"/>
      <c r="E22" s="3"/>
      <c r="F22" s="3"/>
      <c r="G22" s="9"/>
      <c r="H22" s="16">
        <f>SUM(H11:H21)</f>
        <v>6576411</v>
      </c>
      <c r="I22" s="17">
        <f>+H22/H5</f>
        <v>0.58813147534620225</v>
      </c>
      <c r="J22" s="14"/>
      <c r="K22" s="11"/>
    </row>
    <row r="23" spans="2:11" x14ac:dyDescent="0.25">
      <c r="B23" s="3"/>
      <c r="C23" s="3"/>
      <c r="D23" s="3"/>
      <c r="E23" s="3"/>
      <c r="F23" s="3"/>
      <c r="G23" s="9"/>
      <c r="H23" s="9"/>
      <c r="I23" s="5"/>
      <c r="J23" s="14"/>
      <c r="K23" s="11"/>
    </row>
    <row r="24" spans="2:11" x14ac:dyDescent="0.25">
      <c r="B24" s="4" t="s">
        <v>13</v>
      </c>
      <c r="C24" s="3"/>
      <c r="D24" s="3"/>
      <c r="E24" s="3"/>
      <c r="F24" s="3"/>
      <c r="G24" s="9"/>
      <c r="H24" s="9"/>
      <c r="I24" s="5"/>
      <c r="J24" s="14"/>
      <c r="K24" s="11"/>
    </row>
    <row r="25" spans="2:11" x14ac:dyDescent="0.25">
      <c r="B25" s="3"/>
      <c r="C25" s="3" t="s">
        <v>57</v>
      </c>
      <c r="D25" s="3"/>
      <c r="E25" s="3"/>
      <c r="F25" s="3"/>
      <c r="G25" s="9"/>
      <c r="H25" s="18">
        <f>300000+80000</f>
        <v>380000</v>
      </c>
      <c r="I25" s="5">
        <f>+H25/H5</f>
        <v>3.3983575635944417E-2</v>
      </c>
      <c r="J25" s="10">
        <v>1.02</v>
      </c>
      <c r="K25" s="11">
        <f>+H25*$J$25</f>
        <v>387600</v>
      </c>
    </row>
    <row r="26" spans="2:11" ht="4.5" customHeight="1" x14ac:dyDescent="0.25">
      <c r="B26" s="3"/>
      <c r="C26" s="3"/>
      <c r="D26" s="3"/>
      <c r="E26" s="3"/>
      <c r="F26" s="3"/>
      <c r="G26" s="9"/>
      <c r="H26" s="9"/>
      <c r="I26" s="5"/>
      <c r="J26" s="10"/>
      <c r="K26" s="11"/>
    </row>
    <row r="27" spans="2:11" x14ac:dyDescent="0.25">
      <c r="B27" s="4" t="s">
        <v>14</v>
      </c>
      <c r="C27" s="3"/>
      <c r="D27" s="3"/>
      <c r="E27" s="3"/>
      <c r="F27" s="3"/>
      <c r="G27" s="3"/>
      <c r="H27" s="9"/>
      <c r="I27" s="5"/>
      <c r="J27" s="10"/>
      <c r="K27" s="11"/>
    </row>
    <row r="28" spans="2:11" x14ac:dyDescent="0.25">
      <c r="B28" s="3"/>
      <c r="C28" s="3" t="s">
        <v>15</v>
      </c>
      <c r="D28" s="3"/>
      <c r="E28" s="3"/>
      <c r="F28" s="3"/>
      <c r="G28" s="3"/>
      <c r="H28" s="18">
        <v>553993.06000000006</v>
      </c>
      <c r="I28" s="5">
        <f>+H28/H5</f>
        <v>4.9543855411311309E-2</v>
      </c>
      <c r="J28" s="10">
        <v>0.95</v>
      </c>
      <c r="K28" s="11">
        <f>+H28*$J$28</f>
        <v>526293.40700000001</v>
      </c>
    </row>
    <row r="29" spans="2:11" ht="3" customHeight="1" x14ac:dyDescent="0.25">
      <c r="B29" s="3"/>
      <c r="C29" s="3"/>
      <c r="D29" s="3"/>
      <c r="E29" s="3"/>
      <c r="F29" s="3"/>
      <c r="G29" s="3"/>
      <c r="H29" s="9"/>
      <c r="I29" s="5"/>
      <c r="J29" s="10"/>
      <c r="K29" s="11"/>
    </row>
    <row r="30" spans="2:11" x14ac:dyDescent="0.25">
      <c r="B30" s="4" t="s">
        <v>16</v>
      </c>
      <c r="C30" s="3"/>
      <c r="D30" s="3"/>
      <c r="E30" s="3"/>
      <c r="F30" s="3"/>
      <c r="G30" s="3"/>
      <c r="H30" s="9"/>
      <c r="I30" s="5"/>
      <c r="J30" s="10"/>
      <c r="K30" s="11"/>
    </row>
    <row r="31" spans="2:11" x14ac:dyDescent="0.25">
      <c r="B31" s="3"/>
      <c r="C31" s="3" t="s">
        <v>17</v>
      </c>
      <c r="D31" s="3"/>
      <c r="E31" s="3"/>
      <c r="F31" s="3"/>
      <c r="G31" s="3"/>
      <c r="H31" s="18">
        <v>248946.8</v>
      </c>
      <c r="I31" s="5">
        <f>+H31/H5</f>
        <v>2.2263427387174545E-2</v>
      </c>
      <c r="J31" s="10">
        <v>1</v>
      </c>
      <c r="K31" s="11">
        <f>+H31*$J$31</f>
        <v>248946.8</v>
      </c>
    </row>
    <row r="32" spans="2:11" ht="6" customHeight="1" x14ac:dyDescent="0.25">
      <c r="B32" s="3"/>
      <c r="C32" s="3"/>
      <c r="D32" s="3"/>
      <c r="E32" s="3"/>
      <c r="F32" s="3"/>
      <c r="G32" s="3"/>
      <c r="H32" s="9"/>
      <c r="I32" s="5"/>
      <c r="J32" s="10"/>
      <c r="K32" s="11"/>
    </row>
    <row r="33" spans="2:11" x14ac:dyDescent="0.25">
      <c r="B33" s="4" t="s">
        <v>18</v>
      </c>
      <c r="C33" s="3"/>
      <c r="D33" s="3"/>
      <c r="E33" s="3"/>
      <c r="F33" s="3"/>
      <c r="G33" s="3"/>
      <c r="H33" s="9"/>
      <c r="I33" s="5"/>
      <c r="J33" s="10"/>
      <c r="K33" s="11"/>
    </row>
    <row r="34" spans="2:11" x14ac:dyDescent="0.25">
      <c r="B34" s="3"/>
      <c r="C34" s="3" t="s">
        <v>19</v>
      </c>
      <c r="D34" s="3"/>
      <c r="E34" s="3"/>
      <c r="F34" s="3"/>
      <c r="G34" s="3"/>
      <c r="H34" s="18">
        <v>310000</v>
      </c>
      <c r="I34" s="5">
        <f>+H34/H5</f>
        <v>2.7723443281954658E-2</v>
      </c>
      <c r="J34" s="10">
        <v>1</v>
      </c>
      <c r="K34" s="11">
        <f>+H34*$J$34</f>
        <v>310000</v>
      </c>
    </row>
    <row r="35" spans="2:11" x14ac:dyDescent="0.25">
      <c r="B35" s="3"/>
      <c r="C35" s="3"/>
      <c r="D35" s="3"/>
      <c r="E35" s="3"/>
      <c r="F35" s="3"/>
      <c r="G35" s="3"/>
      <c r="H35" s="9"/>
      <c r="I35" s="5"/>
      <c r="J35" s="10"/>
      <c r="K35" s="11"/>
    </row>
    <row r="36" spans="2:11" x14ac:dyDescent="0.25">
      <c r="B36" s="4" t="s">
        <v>20</v>
      </c>
      <c r="C36" s="3"/>
      <c r="D36" s="3"/>
      <c r="E36" s="3"/>
      <c r="F36" s="3"/>
      <c r="G36" s="3"/>
      <c r="H36" s="9"/>
      <c r="I36" s="5"/>
      <c r="J36" s="14"/>
      <c r="K36" s="11"/>
    </row>
    <row r="37" spans="2:11" x14ac:dyDescent="0.25">
      <c r="B37" s="3"/>
      <c r="C37" s="3" t="s">
        <v>21</v>
      </c>
      <c r="D37" s="3"/>
      <c r="E37" s="3"/>
      <c r="F37" s="3"/>
      <c r="G37" s="3"/>
      <c r="H37" s="18">
        <v>0</v>
      </c>
      <c r="I37" s="5">
        <f>+H37/H5</f>
        <v>0</v>
      </c>
      <c r="J37" s="14"/>
      <c r="K37" s="11"/>
    </row>
    <row r="38" spans="2:11" ht="6" customHeight="1" x14ac:dyDescent="0.25">
      <c r="B38" s="3"/>
      <c r="C38" s="3"/>
      <c r="D38" s="3"/>
      <c r="E38" s="3"/>
      <c r="F38" s="3"/>
      <c r="G38" s="3"/>
      <c r="H38" s="9"/>
      <c r="I38" s="5"/>
      <c r="J38" s="14"/>
      <c r="K38" s="11"/>
    </row>
    <row r="39" spans="2:11" x14ac:dyDescent="0.25">
      <c r="B39" s="4" t="s">
        <v>22</v>
      </c>
      <c r="C39" s="3"/>
      <c r="D39" s="3"/>
      <c r="E39" s="3"/>
      <c r="F39" s="3"/>
      <c r="G39" s="3"/>
      <c r="H39" s="9"/>
      <c r="I39" s="5"/>
      <c r="J39" s="14"/>
      <c r="K39" s="11"/>
    </row>
    <row r="40" spans="2:11" x14ac:dyDescent="0.25">
      <c r="B40" s="3"/>
      <c r="C40" s="3" t="s">
        <v>23</v>
      </c>
      <c r="D40" s="3"/>
      <c r="E40" s="3"/>
      <c r="F40" s="3"/>
      <c r="G40" s="3"/>
      <c r="H40" s="18">
        <v>0</v>
      </c>
      <c r="I40" s="5">
        <f>+H40/H5</f>
        <v>0</v>
      </c>
      <c r="J40" s="14"/>
      <c r="K40" s="11"/>
    </row>
    <row r="41" spans="2:11" ht="5.25" customHeight="1" x14ac:dyDescent="0.25">
      <c r="B41" s="3"/>
      <c r="C41" s="3"/>
      <c r="D41" s="3"/>
      <c r="E41" s="3"/>
      <c r="F41" s="3"/>
      <c r="G41" s="3"/>
      <c r="H41" s="3"/>
      <c r="I41" s="5"/>
      <c r="J41" s="14"/>
      <c r="K41" s="11"/>
    </row>
    <row r="42" spans="2:11" x14ac:dyDescent="0.25">
      <c r="B42" s="4" t="s">
        <v>24</v>
      </c>
      <c r="C42" s="3"/>
      <c r="D42" s="3"/>
      <c r="E42" s="3"/>
      <c r="F42" s="3"/>
      <c r="G42" s="3"/>
      <c r="H42" s="3"/>
      <c r="I42" s="5"/>
      <c r="J42" s="14"/>
      <c r="K42" s="11"/>
    </row>
    <row r="43" spans="2:11" x14ac:dyDescent="0.25">
      <c r="B43" s="3"/>
      <c r="C43" s="3" t="s">
        <v>25</v>
      </c>
      <c r="D43" s="3"/>
      <c r="E43" s="3"/>
      <c r="F43" s="3"/>
      <c r="G43" s="3"/>
      <c r="H43" s="19">
        <f>+H5-(+SUM(H22:H41))</f>
        <v>3112521.3500000006</v>
      </c>
      <c r="I43" s="5">
        <f>+H43/H5</f>
        <v>0.27835422293741274</v>
      </c>
      <c r="J43" s="10">
        <v>1.02</v>
      </c>
      <c r="K43" s="11">
        <f>+H43*$J$43</f>
        <v>3174771.7770000007</v>
      </c>
    </row>
    <row r="44" spans="2:11" x14ac:dyDescent="0.25">
      <c r="B44" s="3"/>
      <c r="C44" s="3"/>
      <c r="D44" s="3"/>
      <c r="E44" s="3"/>
      <c r="F44" s="3"/>
      <c r="G44" s="3"/>
      <c r="H44" s="3"/>
      <c r="I44" s="5"/>
      <c r="J44" s="14"/>
      <c r="K44" s="11"/>
    </row>
    <row r="45" spans="2:11" ht="15.75" thickBot="1" x14ac:dyDescent="0.3">
      <c r="B45" s="3"/>
      <c r="C45" s="3"/>
      <c r="D45" s="3"/>
      <c r="E45" s="3"/>
      <c r="F45" s="3"/>
      <c r="G45" s="3"/>
      <c r="H45" s="3"/>
      <c r="I45" s="5"/>
      <c r="J45" s="20" t="s">
        <v>26</v>
      </c>
      <c r="K45" s="21">
        <f>SUM(K11:K43)</f>
        <v>11432509.473999999</v>
      </c>
    </row>
    <row r="46" spans="2:11" ht="9.75" customHeight="1" thickBot="1" x14ac:dyDescent="0.3">
      <c r="B46" s="22"/>
      <c r="C46" s="22"/>
      <c r="D46" s="22"/>
      <c r="E46" s="22"/>
      <c r="F46" s="22"/>
      <c r="G46" s="23"/>
      <c r="H46" s="23"/>
      <c r="I46" s="24"/>
      <c r="J46" s="20"/>
      <c r="K46" s="25"/>
    </row>
    <row r="47" spans="2:11" ht="20.25" x14ac:dyDescent="0.3">
      <c r="B47" s="48" t="s">
        <v>40</v>
      </c>
      <c r="C47" s="49"/>
      <c r="D47" s="49"/>
      <c r="E47" s="49"/>
      <c r="F47" s="49"/>
      <c r="G47" s="49"/>
      <c r="H47" s="49"/>
      <c r="I47" s="50"/>
      <c r="J47" s="20"/>
      <c r="K47" s="25"/>
    </row>
    <row r="48" spans="2:11" ht="20.25" x14ac:dyDescent="0.3">
      <c r="B48" s="51" t="s">
        <v>41</v>
      </c>
      <c r="C48" s="52"/>
      <c r="D48" s="52"/>
      <c r="E48" s="52"/>
      <c r="F48" s="52"/>
      <c r="G48" s="52"/>
      <c r="H48" s="52"/>
      <c r="I48" s="53"/>
      <c r="J48" s="20"/>
      <c r="K48" s="26" t="s">
        <v>27</v>
      </c>
    </row>
    <row r="49" spans="2:12" ht="15.75" x14ac:dyDescent="0.25">
      <c r="B49" s="27"/>
      <c r="C49" s="22"/>
      <c r="D49" s="22"/>
      <c r="E49" s="22"/>
      <c r="F49" s="22"/>
      <c r="G49" s="22"/>
      <c r="H49" s="22"/>
      <c r="I49" s="28"/>
      <c r="J49" s="14"/>
      <c r="K49" s="29" t="str">
        <f>'[1]Key Inputs'!E34</f>
        <v>2023</v>
      </c>
    </row>
    <row r="50" spans="2:12" ht="18" x14ac:dyDescent="0.25">
      <c r="B50" s="27"/>
      <c r="C50" s="22"/>
      <c r="D50" s="22"/>
      <c r="E50" s="30" t="s">
        <v>28</v>
      </c>
      <c r="F50" s="30"/>
      <c r="G50" s="22"/>
      <c r="H50" s="23"/>
      <c r="I50" s="28"/>
      <c r="J50" s="14"/>
      <c r="K50" s="25"/>
    </row>
    <row r="51" spans="2:12" ht="18" x14ac:dyDescent="0.25">
      <c r="B51" s="27"/>
      <c r="C51" s="22"/>
      <c r="D51" s="22"/>
      <c r="E51" s="30"/>
      <c r="F51" s="30" t="s">
        <v>29</v>
      </c>
      <c r="G51" s="22"/>
      <c r="H51" s="31">
        <v>1100000</v>
      </c>
      <c r="I51" s="28"/>
      <c r="J51" s="14"/>
      <c r="K51" s="25">
        <f>H51</f>
        <v>1100000</v>
      </c>
      <c r="L51" s="30" t="s">
        <v>29</v>
      </c>
    </row>
    <row r="52" spans="2:12" ht="18" x14ac:dyDescent="0.25">
      <c r="B52" s="27"/>
      <c r="C52" s="22"/>
      <c r="D52" s="22"/>
      <c r="E52" s="30"/>
      <c r="F52" s="30" t="s">
        <v>30</v>
      </c>
      <c r="G52" s="22"/>
      <c r="H52" s="31">
        <f>382600+170000+100575+45000+30000</f>
        <v>728175</v>
      </c>
      <c r="I52" s="28"/>
      <c r="J52" s="14"/>
      <c r="K52" s="25">
        <f>H52</f>
        <v>728175</v>
      </c>
      <c r="L52" s="30" t="s">
        <v>30</v>
      </c>
    </row>
    <row r="53" spans="2:12" ht="18" x14ac:dyDescent="0.25">
      <c r="B53" s="27"/>
      <c r="C53" s="22"/>
      <c r="D53" s="22"/>
      <c r="E53" s="30"/>
      <c r="F53" s="30" t="s">
        <v>31</v>
      </c>
      <c r="G53" s="22"/>
      <c r="H53" s="31">
        <v>357746</v>
      </c>
      <c r="I53" s="28"/>
      <c r="J53" s="14"/>
      <c r="K53" s="31">
        <f>H53</f>
        <v>357746</v>
      </c>
      <c r="L53" s="30" t="s">
        <v>31</v>
      </c>
    </row>
    <row r="54" spans="2:12" ht="18" x14ac:dyDescent="0.25">
      <c r="B54" s="27"/>
      <c r="C54" s="22"/>
      <c r="D54" s="22"/>
      <c r="E54" s="30"/>
      <c r="F54" s="30" t="s">
        <v>32</v>
      </c>
      <c r="G54" s="22"/>
      <c r="H54" s="31">
        <v>54473.19</v>
      </c>
      <c r="I54" s="28"/>
      <c r="J54" s="14"/>
      <c r="K54" s="25">
        <f>H54</f>
        <v>54473.19</v>
      </c>
      <c r="L54" s="30" t="s">
        <v>32</v>
      </c>
    </row>
    <row r="55" spans="2:12" ht="18" x14ac:dyDescent="0.25">
      <c r="B55" s="27"/>
      <c r="C55" s="22"/>
      <c r="D55" s="22"/>
      <c r="E55" s="30"/>
      <c r="F55" s="30" t="s">
        <v>33</v>
      </c>
      <c r="G55" s="22"/>
      <c r="H55" s="31">
        <v>200000</v>
      </c>
      <c r="I55" s="28"/>
      <c r="J55" s="14"/>
      <c r="K55" s="25">
        <v>200000</v>
      </c>
      <c r="L55" s="30" t="s">
        <v>33</v>
      </c>
    </row>
    <row r="56" spans="2:12" ht="18" x14ac:dyDescent="0.25">
      <c r="B56" s="27"/>
      <c r="C56" s="22"/>
      <c r="D56" s="22"/>
      <c r="E56" s="30"/>
      <c r="F56" s="30" t="s">
        <v>34</v>
      </c>
      <c r="G56" s="22"/>
      <c r="H56" s="31">
        <f>8107314.86+634163.16</f>
        <v>8741478.0199999996</v>
      </c>
      <c r="I56" s="28"/>
      <c r="J56" s="14"/>
      <c r="K56" s="25">
        <f>H56-634163.16</f>
        <v>8107314.8599999994</v>
      </c>
      <c r="L56" s="30" t="s">
        <v>34</v>
      </c>
    </row>
    <row r="57" spans="2:12" ht="18" x14ac:dyDescent="0.25">
      <c r="B57" s="27"/>
      <c r="C57" s="22"/>
      <c r="D57" s="22"/>
      <c r="E57" s="30"/>
      <c r="F57" s="30"/>
      <c r="G57" s="22"/>
      <c r="H57" s="32">
        <f>SUM(H51:H56)</f>
        <v>11181872.209999999</v>
      </c>
      <c r="I57" s="28"/>
      <c r="J57" s="14"/>
      <c r="K57" s="25">
        <f>500000</f>
        <v>500000</v>
      </c>
      <c r="L57" s="30" t="s">
        <v>59</v>
      </c>
    </row>
    <row r="58" spans="2:12" ht="18" x14ac:dyDescent="0.25">
      <c r="B58" s="27"/>
      <c r="C58" s="22"/>
      <c r="D58" s="22"/>
      <c r="E58" s="30"/>
      <c r="F58" s="30"/>
      <c r="G58" s="22"/>
      <c r="H58" s="23"/>
      <c r="I58" s="28"/>
      <c r="J58" s="14"/>
      <c r="K58" s="32">
        <f>SUM(K51:K57)</f>
        <v>11047709.049999999</v>
      </c>
    </row>
    <row r="59" spans="2:12" ht="18" x14ac:dyDescent="0.25">
      <c r="B59" s="27"/>
      <c r="C59" s="22"/>
      <c r="D59" s="22"/>
      <c r="E59" s="30"/>
      <c r="F59" s="30" t="s">
        <v>35</v>
      </c>
      <c r="G59" s="22"/>
      <c r="H59" s="33">
        <v>2099374600</v>
      </c>
      <c r="I59" s="28"/>
      <c r="J59" s="14"/>
      <c r="K59" s="25"/>
    </row>
    <row r="60" spans="2:12" ht="18" x14ac:dyDescent="0.25">
      <c r="B60" s="27"/>
      <c r="C60" s="22"/>
      <c r="D60" s="22"/>
      <c r="E60" s="30"/>
      <c r="F60" s="30" t="s">
        <v>36</v>
      </c>
      <c r="G60" s="22"/>
      <c r="H60" s="35">
        <v>0.38600000000000001</v>
      </c>
      <c r="I60" s="28"/>
      <c r="J60" s="14"/>
      <c r="K60" s="34">
        <f>H59</f>
        <v>2099374600</v>
      </c>
    </row>
    <row r="61" spans="2:12" ht="18" x14ac:dyDescent="0.25">
      <c r="B61" s="27"/>
      <c r="C61" s="22"/>
      <c r="D61" s="22"/>
      <c r="E61" s="30"/>
      <c r="F61" s="30"/>
      <c r="G61" s="22"/>
      <c r="H61" s="37"/>
      <c r="I61" s="28"/>
      <c r="J61" s="14"/>
      <c r="K61" s="36">
        <f>+(K56)/(+K60/100)</f>
        <v>0.38617761975399717</v>
      </c>
    </row>
    <row r="62" spans="2:12" ht="18" x14ac:dyDescent="0.25">
      <c r="B62" s="27"/>
      <c r="C62" s="22"/>
      <c r="D62" s="22"/>
      <c r="E62" s="30"/>
      <c r="F62" s="30"/>
      <c r="G62" s="22"/>
      <c r="H62" s="37"/>
      <c r="I62" s="28"/>
      <c r="J62" s="14"/>
      <c r="K62" s="36"/>
    </row>
    <row r="63" spans="2:12" ht="18" x14ac:dyDescent="0.25">
      <c r="B63" s="27"/>
      <c r="C63" s="22"/>
      <c r="D63" s="22"/>
      <c r="E63" s="30"/>
      <c r="F63" s="30"/>
      <c r="G63" s="22"/>
      <c r="H63" s="37"/>
      <c r="I63" s="28"/>
      <c r="J63" s="14" t="s">
        <v>37</v>
      </c>
      <c r="K63" s="36">
        <v>0</v>
      </c>
    </row>
    <row r="64" spans="2:12" ht="18" x14ac:dyDescent="0.25">
      <c r="B64" s="27"/>
      <c r="C64" s="22"/>
      <c r="D64" s="22"/>
      <c r="E64" s="30"/>
      <c r="F64" s="30"/>
      <c r="G64" s="22"/>
      <c r="H64" s="37"/>
      <c r="I64" s="28"/>
      <c r="J64" s="14"/>
      <c r="K64" s="36"/>
    </row>
    <row r="65" spans="2:11" ht="18" x14ac:dyDescent="0.25">
      <c r="B65" s="27"/>
      <c r="C65" s="22"/>
      <c r="D65" s="22"/>
      <c r="E65" s="30"/>
      <c r="F65" s="30"/>
      <c r="G65" s="22"/>
      <c r="H65" s="37"/>
      <c r="I65" s="28"/>
      <c r="J65" s="14" t="s">
        <v>38</v>
      </c>
      <c r="K65" s="36">
        <v>70000</v>
      </c>
    </row>
    <row r="66" spans="2:11" ht="18" x14ac:dyDescent="0.25">
      <c r="B66" s="27"/>
      <c r="C66" s="22"/>
      <c r="D66" s="22"/>
      <c r="E66" s="30"/>
      <c r="F66" s="30"/>
      <c r="G66" s="22"/>
      <c r="H66" s="37"/>
      <c r="I66" s="28"/>
      <c r="J66" s="14"/>
      <c r="K66" s="36"/>
    </row>
    <row r="67" spans="2:11" ht="15.75" x14ac:dyDescent="0.25">
      <c r="B67" s="27"/>
      <c r="C67" s="22"/>
      <c r="D67" s="22"/>
      <c r="E67" s="22"/>
      <c r="F67" s="22"/>
      <c r="G67" s="22"/>
      <c r="H67" s="22"/>
      <c r="I67" s="28"/>
      <c r="J67" s="38" t="s">
        <v>39</v>
      </c>
      <c r="K67" s="39">
        <f>(2649044.39)+K58-H5+K65+K63</f>
        <v>2584881.2299999986</v>
      </c>
    </row>
    <row r="68" spans="2:11" ht="15.75" x14ac:dyDescent="0.25">
      <c r="G68" s="41"/>
      <c r="H68" s="41"/>
      <c r="I68" s="42"/>
      <c r="J68" s="14"/>
      <c r="K68" s="45"/>
    </row>
    <row r="69" spans="2:11" ht="15.75" x14ac:dyDescent="0.25">
      <c r="G69" s="41"/>
      <c r="H69" s="41"/>
      <c r="I69" s="42"/>
      <c r="J69" s="47" t="s">
        <v>61</v>
      </c>
      <c r="K69" s="46">
        <v>2649044.39</v>
      </c>
    </row>
    <row r="70" spans="2:11" ht="15.75" x14ac:dyDescent="0.25">
      <c r="G70" s="41"/>
      <c r="H70" s="41"/>
      <c r="I70" s="42"/>
      <c r="J70" s="47"/>
      <c r="K70" s="46"/>
    </row>
    <row r="71" spans="2:11" ht="15.75" x14ac:dyDescent="0.25">
      <c r="G71" s="41"/>
      <c r="H71" s="41"/>
      <c r="I71" s="42"/>
      <c r="J71" s="47" t="s">
        <v>60</v>
      </c>
      <c r="K71" s="46">
        <f>K69-K67</f>
        <v>64163.160000001546</v>
      </c>
    </row>
    <row r="72" spans="2:11" ht="15.75" x14ac:dyDescent="0.25">
      <c r="G72" s="41"/>
      <c r="H72" s="41"/>
      <c r="I72" s="42"/>
      <c r="K72" s="46"/>
    </row>
    <row r="73" spans="2:11" ht="15.75" x14ac:dyDescent="0.25">
      <c r="G73" s="41"/>
      <c r="H73" s="41"/>
      <c r="I73" s="42"/>
    </row>
    <row r="74" spans="2:11" ht="15.75" x14ac:dyDescent="0.25">
      <c r="G74" s="41"/>
      <c r="H74" s="41"/>
      <c r="I74" s="42"/>
    </row>
    <row r="75" spans="2:11" ht="15.75" x14ac:dyDescent="0.25">
      <c r="G75" s="41"/>
      <c r="H75" s="41"/>
      <c r="I75" s="42"/>
    </row>
    <row r="76" spans="2:11" ht="15.75" x14ac:dyDescent="0.25">
      <c r="G76" s="41"/>
      <c r="H76" s="41"/>
      <c r="I76" s="42"/>
    </row>
    <row r="77" spans="2:11" ht="15.75" x14ac:dyDescent="0.25">
      <c r="G77" s="41"/>
      <c r="H77" s="41"/>
      <c r="I77" s="42"/>
    </row>
    <row r="78" spans="2:11" x14ac:dyDescent="0.25">
      <c r="I78" s="43"/>
    </row>
  </sheetData>
  <mergeCells count="4">
    <mergeCell ref="B47:I47"/>
    <mergeCell ref="B48:I48"/>
    <mergeCell ref="B2:K2"/>
    <mergeCell ref="B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A5E6D-19B0-4307-98EF-7C1EDE1E5AF9}">
  <dimension ref="B2:M76"/>
  <sheetViews>
    <sheetView tabSelected="1" workbookViewId="0">
      <selection activeCell="G76" sqref="G76"/>
    </sheetView>
  </sheetViews>
  <sheetFormatPr defaultRowHeight="15" x14ac:dyDescent="0.25"/>
  <cols>
    <col min="1" max="1" width="2.7109375" customWidth="1"/>
    <col min="2" max="5" width="4.7109375" customWidth="1"/>
    <col min="6" max="6" width="10.7109375" customWidth="1"/>
    <col min="7" max="7" width="17" customWidth="1"/>
    <col min="8" max="8" width="17.42578125" bestFit="1" customWidth="1"/>
    <col min="9" max="9" width="10.7109375" customWidth="1"/>
    <col min="10" max="10" width="26.28515625" bestFit="1" customWidth="1"/>
    <col min="11" max="11" width="17.7109375" customWidth="1"/>
    <col min="12" max="12" width="15.7109375" customWidth="1"/>
    <col min="13" max="13" width="49.42578125" customWidth="1"/>
  </cols>
  <sheetData>
    <row r="2" spans="2:13" s="1" customFormat="1" ht="20.25" x14ac:dyDescent="0.3">
      <c r="B2" s="52" t="s">
        <v>40</v>
      </c>
      <c r="C2" s="52"/>
      <c r="D2" s="52"/>
      <c r="E2" s="52"/>
      <c r="F2" s="52"/>
      <c r="G2" s="52"/>
      <c r="H2" s="52"/>
      <c r="I2" s="52"/>
      <c r="J2" s="52"/>
      <c r="K2" s="52"/>
      <c r="M2" s="2"/>
    </row>
    <row r="3" spans="2:13" s="1" customFormat="1" ht="20.25" x14ac:dyDescent="0.3">
      <c r="B3" s="52" t="s">
        <v>43</v>
      </c>
      <c r="C3" s="52"/>
      <c r="D3" s="52"/>
      <c r="E3" s="52"/>
      <c r="F3" s="52"/>
      <c r="G3" s="52"/>
      <c r="H3" s="52"/>
      <c r="I3" s="52"/>
      <c r="J3" s="52"/>
      <c r="K3" s="52"/>
    </row>
    <row r="4" spans="2:13" x14ac:dyDescent="0.25">
      <c r="B4" s="3"/>
      <c r="C4" s="3"/>
      <c r="D4" s="3"/>
      <c r="E4" s="3"/>
      <c r="F4" s="3"/>
      <c r="G4" s="3"/>
      <c r="H4" s="3"/>
      <c r="I4" s="3"/>
      <c r="J4" s="3"/>
      <c r="K4" s="8" t="s">
        <v>0</v>
      </c>
    </row>
    <row r="5" spans="2:13" ht="15.75" thickBot="1" x14ac:dyDescent="0.3">
      <c r="B5" s="4" t="s">
        <v>1</v>
      </c>
      <c r="C5" s="3"/>
      <c r="D5" s="3"/>
      <c r="E5" s="3"/>
      <c r="F5" s="3"/>
      <c r="G5" s="9"/>
      <c r="H5" s="44">
        <v>2016700</v>
      </c>
      <c r="I5" s="5">
        <f>SUM(I9:I53)</f>
        <v>1</v>
      </c>
      <c r="J5" s="6"/>
      <c r="K5" s="7">
        <v>2024</v>
      </c>
    </row>
    <row r="6" spans="2:13" ht="9" customHeight="1" thickTop="1" x14ac:dyDescent="0.25">
      <c r="B6" s="3"/>
      <c r="C6" s="3"/>
      <c r="D6" s="3"/>
      <c r="E6" s="3"/>
      <c r="F6" s="3"/>
      <c r="G6" s="9"/>
      <c r="H6" s="9"/>
      <c r="I6" s="5"/>
      <c r="J6" s="3"/>
      <c r="K6" s="3"/>
    </row>
    <row r="7" spans="2:13" x14ac:dyDescent="0.25">
      <c r="B7" s="4" t="s">
        <v>2</v>
      </c>
      <c r="C7" s="3"/>
      <c r="D7" s="3"/>
      <c r="E7" s="3"/>
      <c r="F7" s="3"/>
      <c r="G7" s="9"/>
      <c r="H7" s="9"/>
      <c r="I7" s="5"/>
      <c r="J7" s="3"/>
      <c r="K7" s="3"/>
    </row>
    <row r="8" spans="2:13" x14ac:dyDescent="0.25">
      <c r="B8" s="3"/>
      <c r="C8" s="3" t="s">
        <v>3</v>
      </c>
      <c r="D8" s="3"/>
      <c r="E8" s="3"/>
      <c r="F8" s="3"/>
      <c r="G8" s="9"/>
      <c r="H8" s="9"/>
      <c r="I8" s="5"/>
      <c r="J8" s="3"/>
      <c r="K8" s="3"/>
    </row>
    <row r="9" spans="2:13" x14ac:dyDescent="0.25">
      <c r="B9" s="3"/>
      <c r="C9" s="3"/>
      <c r="D9" s="3" t="s">
        <v>46</v>
      </c>
      <c r="E9" s="3"/>
      <c r="F9" s="3"/>
      <c r="G9" s="9">
        <v>323000</v>
      </c>
      <c r="H9" s="9"/>
      <c r="I9" s="5"/>
      <c r="J9" s="10">
        <v>1.03</v>
      </c>
      <c r="K9" s="11">
        <f>+G9*$J$9</f>
        <v>332690</v>
      </c>
      <c r="L9" s="12"/>
    </row>
    <row r="10" spans="2:13" hidden="1" x14ac:dyDescent="0.25">
      <c r="B10" s="3"/>
      <c r="C10" s="3"/>
      <c r="D10" s="3" t="s">
        <v>5</v>
      </c>
      <c r="E10" s="3"/>
      <c r="F10" s="3"/>
      <c r="G10" s="13"/>
      <c r="H10" s="9"/>
      <c r="I10" s="5"/>
      <c r="J10" s="10">
        <v>1.03</v>
      </c>
      <c r="K10" s="11">
        <f>+G10*$J$9</f>
        <v>0</v>
      </c>
    </row>
    <row r="11" spans="2:13" ht="15.75" thickBot="1" x14ac:dyDescent="0.3">
      <c r="B11" s="3"/>
      <c r="C11" s="3"/>
      <c r="D11" s="3"/>
      <c r="E11" s="3" t="s">
        <v>6</v>
      </c>
      <c r="F11" s="3"/>
      <c r="G11" s="9"/>
      <c r="H11" s="9">
        <f>SUM(G9:G10)</f>
        <v>323000</v>
      </c>
      <c r="I11" s="5"/>
      <c r="J11" s="14"/>
      <c r="K11" s="15">
        <f>+K9+K10</f>
        <v>332690</v>
      </c>
    </row>
    <row r="12" spans="2:13" ht="9.75" customHeight="1" thickTop="1" x14ac:dyDescent="0.25">
      <c r="B12" s="3"/>
      <c r="C12" s="3"/>
      <c r="D12" s="3"/>
      <c r="E12" s="3"/>
      <c r="F12" s="3"/>
      <c r="G12" s="9"/>
      <c r="H12" s="9"/>
      <c r="I12" s="5"/>
      <c r="J12" s="14"/>
      <c r="K12" s="11"/>
    </row>
    <row r="13" spans="2:13" x14ac:dyDescent="0.25">
      <c r="B13" s="3"/>
      <c r="C13" s="3" t="s">
        <v>7</v>
      </c>
      <c r="D13" s="3"/>
      <c r="E13" s="3"/>
      <c r="F13" s="3"/>
      <c r="G13" s="9"/>
      <c r="H13" s="9"/>
      <c r="I13" s="5"/>
      <c r="J13" s="14"/>
      <c r="K13" s="11"/>
    </row>
    <row r="14" spans="2:13" x14ac:dyDescent="0.25">
      <c r="B14" s="3"/>
      <c r="C14" s="3"/>
      <c r="D14" s="3" t="s">
        <v>47</v>
      </c>
      <c r="E14" s="3"/>
      <c r="F14" s="3"/>
      <c r="G14" s="9"/>
      <c r="H14" s="9">
        <v>35000</v>
      </c>
      <c r="I14" s="5"/>
      <c r="J14" s="10">
        <v>1.03</v>
      </c>
      <c r="K14" s="11">
        <f>+H14*$J$14</f>
        <v>36050</v>
      </c>
    </row>
    <row r="15" spans="2:13" x14ac:dyDescent="0.25">
      <c r="B15" s="3"/>
      <c r="C15" s="3" t="s">
        <v>9</v>
      </c>
      <c r="D15" s="3"/>
      <c r="E15" s="3"/>
      <c r="F15" s="3"/>
      <c r="G15" s="9"/>
      <c r="H15" s="9"/>
      <c r="I15" s="5"/>
      <c r="J15" s="14"/>
      <c r="K15" s="11"/>
    </row>
    <row r="16" spans="2:13" x14ac:dyDescent="0.25">
      <c r="B16" s="3"/>
      <c r="C16" s="3"/>
      <c r="D16" s="3" t="s">
        <v>47</v>
      </c>
      <c r="E16" s="3"/>
      <c r="F16" s="3"/>
      <c r="G16" s="9"/>
      <c r="H16" s="9">
        <v>89000</v>
      </c>
      <c r="I16" s="5"/>
      <c r="J16" s="10">
        <v>1.02</v>
      </c>
      <c r="K16" s="11">
        <f>+H16*$J$16</f>
        <v>90780</v>
      </c>
    </row>
    <row r="17" spans="2:11" hidden="1" x14ac:dyDescent="0.25">
      <c r="B17" s="3"/>
      <c r="C17" s="3"/>
      <c r="D17" s="3" t="s">
        <v>8</v>
      </c>
      <c r="E17" s="3"/>
      <c r="F17" s="3"/>
      <c r="G17" s="9"/>
      <c r="H17" s="9"/>
      <c r="I17" s="5"/>
      <c r="J17" s="10">
        <v>1.02</v>
      </c>
      <c r="K17" s="11">
        <f>+J17*$H$17</f>
        <v>0</v>
      </c>
    </row>
    <row r="18" spans="2:11" hidden="1" x14ac:dyDescent="0.25">
      <c r="B18" s="3"/>
      <c r="C18" s="3"/>
      <c r="D18" s="3" t="s">
        <v>8</v>
      </c>
      <c r="E18" s="3"/>
      <c r="F18" s="3"/>
      <c r="G18" s="9"/>
      <c r="H18" s="9"/>
      <c r="I18" s="5"/>
      <c r="J18" s="14"/>
      <c r="K18" s="11"/>
    </row>
    <row r="19" spans="2:11" hidden="1" x14ac:dyDescent="0.25">
      <c r="B19" s="3"/>
      <c r="C19" s="3"/>
      <c r="D19" s="3" t="s">
        <v>10</v>
      </c>
      <c r="E19" s="3"/>
      <c r="F19" s="3"/>
      <c r="G19" s="9"/>
      <c r="H19" s="9"/>
      <c r="I19" s="5"/>
      <c r="J19" s="14"/>
      <c r="K19" s="11"/>
    </row>
    <row r="20" spans="2:11" x14ac:dyDescent="0.25">
      <c r="B20" s="3"/>
      <c r="C20" s="3" t="s">
        <v>11</v>
      </c>
      <c r="D20" s="3"/>
      <c r="E20" s="3"/>
      <c r="F20" s="3"/>
      <c r="G20" s="9"/>
      <c r="H20" s="9"/>
      <c r="I20" s="5"/>
      <c r="J20" s="14"/>
      <c r="K20" s="11"/>
    </row>
    <row r="21" spans="2:11" x14ac:dyDescent="0.25">
      <c r="B21" s="3"/>
      <c r="C21" s="3"/>
      <c r="D21" s="3" t="s">
        <v>46</v>
      </c>
      <c r="E21" s="3"/>
      <c r="F21" s="3"/>
      <c r="G21" s="9"/>
      <c r="H21" s="9">
        <v>115000</v>
      </c>
      <c r="I21" s="5"/>
      <c r="J21" s="10">
        <v>1.05</v>
      </c>
      <c r="K21" s="11">
        <f>+H21*$J$21</f>
        <v>120750</v>
      </c>
    </row>
    <row r="22" spans="2:11" x14ac:dyDescent="0.25">
      <c r="B22" s="3"/>
      <c r="C22" s="3" t="s">
        <v>12</v>
      </c>
      <c r="D22" s="3"/>
      <c r="E22" s="3"/>
      <c r="F22" s="3"/>
      <c r="G22" s="9"/>
      <c r="H22" s="16">
        <f>SUM(H11:H21)</f>
        <v>562000</v>
      </c>
      <c r="I22" s="17">
        <f>+H22/H5</f>
        <v>0.27867307978380523</v>
      </c>
      <c r="J22" s="14"/>
      <c r="K22" s="11"/>
    </row>
    <row r="23" spans="2:11" x14ac:dyDescent="0.25">
      <c r="B23" s="3"/>
      <c r="C23" s="3"/>
      <c r="D23" s="3"/>
      <c r="E23" s="3"/>
      <c r="F23" s="3"/>
      <c r="G23" s="9"/>
      <c r="H23" s="9"/>
      <c r="I23" s="5"/>
      <c r="J23" s="14"/>
      <c r="K23" s="11"/>
    </row>
    <row r="24" spans="2:11" x14ac:dyDescent="0.25">
      <c r="B24" s="4" t="s">
        <v>13</v>
      </c>
      <c r="C24" s="3"/>
      <c r="D24" s="3"/>
      <c r="E24" s="3"/>
      <c r="F24" s="3"/>
      <c r="G24" s="9"/>
      <c r="H24" s="9"/>
      <c r="I24" s="5"/>
      <c r="J24" s="14"/>
      <c r="K24" s="11"/>
    </row>
    <row r="25" spans="2:11" x14ac:dyDescent="0.25">
      <c r="B25" s="3"/>
      <c r="C25" s="3" t="s">
        <v>46</v>
      </c>
      <c r="D25" s="3"/>
      <c r="E25" s="3"/>
      <c r="F25" s="3"/>
      <c r="G25" s="9"/>
      <c r="H25" s="18">
        <v>46000</v>
      </c>
      <c r="I25" s="5">
        <f>+H25/H5</f>
        <v>2.280954033817623E-2</v>
      </c>
      <c r="J25" s="10">
        <v>1.02</v>
      </c>
      <c r="K25" s="11">
        <f>+H25*$J$25</f>
        <v>46920</v>
      </c>
    </row>
    <row r="26" spans="2:11" ht="4.5" customHeight="1" x14ac:dyDescent="0.25">
      <c r="B26" s="3"/>
      <c r="C26" s="3"/>
      <c r="D26" s="3"/>
      <c r="E26" s="3"/>
      <c r="F26" s="3"/>
      <c r="G26" s="9"/>
      <c r="H26" s="9"/>
      <c r="I26" s="5"/>
      <c r="J26" s="10"/>
      <c r="K26" s="11"/>
    </row>
    <row r="27" spans="2:11" x14ac:dyDescent="0.25">
      <c r="B27" s="4" t="s">
        <v>14</v>
      </c>
      <c r="C27" s="3"/>
      <c r="D27" s="3"/>
      <c r="E27" s="3"/>
      <c r="F27" s="3"/>
      <c r="G27" s="3"/>
      <c r="H27" s="9"/>
      <c r="I27" s="5"/>
      <c r="J27" s="10"/>
      <c r="K27" s="11"/>
    </row>
    <row r="28" spans="2:11" x14ac:dyDescent="0.25">
      <c r="B28" s="3"/>
      <c r="C28" s="3" t="s">
        <v>48</v>
      </c>
      <c r="D28" s="3"/>
      <c r="E28" s="3"/>
      <c r="F28" s="3"/>
      <c r="G28" s="3"/>
      <c r="H28" s="18">
        <f>50000+30500+96500</f>
        <v>177000</v>
      </c>
      <c r="I28" s="5">
        <f>+H28/H5</f>
        <v>8.7767144344721576E-2</v>
      </c>
      <c r="J28" s="10">
        <v>0.95</v>
      </c>
      <c r="K28" s="11">
        <f>+H28*$J$28</f>
        <v>168150</v>
      </c>
    </row>
    <row r="29" spans="2:11" ht="3" customHeight="1" x14ac:dyDescent="0.25">
      <c r="B29" s="3"/>
      <c r="C29" s="3"/>
      <c r="D29" s="3"/>
      <c r="E29" s="3"/>
      <c r="F29" s="3"/>
      <c r="G29" s="3"/>
      <c r="H29" s="9"/>
      <c r="I29" s="5"/>
      <c r="J29" s="10"/>
      <c r="K29" s="11"/>
    </row>
    <row r="30" spans="2:11" hidden="1" x14ac:dyDescent="0.25">
      <c r="B30" s="4" t="s">
        <v>16</v>
      </c>
      <c r="C30" s="3"/>
      <c r="D30" s="3"/>
      <c r="E30" s="3"/>
      <c r="F30" s="3"/>
      <c r="G30" s="3"/>
      <c r="H30" s="9"/>
      <c r="I30" s="5"/>
      <c r="J30" s="10"/>
      <c r="K30" s="11"/>
    </row>
    <row r="31" spans="2:11" hidden="1" x14ac:dyDescent="0.25">
      <c r="B31" s="3"/>
      <c r="C31" s="3" t="s">
        <v>17</v>
      </c>
      <c r="D31" s="3"/>
      <c r="E31" s="3"/>
      <c r="F31" s="3"/>
      <c r="G31" s="3"/>
      <c r="H31" s="18"/>
      <c r="I31" s="5">
        <f>+H31/H5</f>
        <v>0</v>
      </c>
      <c r="J31" s="10">
        <v>1</v>
      </c>
      <c r="K31" s="11">
        <f>+H31*$J$31</f>
        <v>0</v>
      </c>
    </row>
    <row r="32" spans="2:11" ht="6" hidden="1" customHeight="1" x14ac:dyDescent="0.25">
      <c r="B32" s="3"/>
      <c r="C32" s="3"/>
      <c r="D32" s="3"/>
      <c r="E32" s="3"/>
      <c r="F32" s="3"/>
      <c r="G32" s="3"/>
      <c r="H32" s="9"/>
      <c r="I32" s="5"/>
      <c r="J32" s="10"/>
      <c r="K32" s="11"/>
    </row>
    <row r="33" spans="2:11" x14ac:dyDescent="0.25">
      <c r="B33" s="4" t="s">
        <v>18</v>
      </c>
      <c r="C33" s="3"/>
      <c r="D33" s="3"/>
      <c r="E33" s="3"/>
      <c r="F33" s="3"/>
      <c r="G33" s="3"/>
      <c r="H33" s="9"/>
      <c r="I33" s="5"/>
      <c r="J33" s="10"/>
      <c r="K33" s="11"/>
    </row>
    <row r="34" spans="2:11" x14ac:dyDescent="0.25">
      <c r="B34" s="3"/>
      <c r="C34" s="3" t="s">
        <v>48</v>
      </c>
      <c r="D34" s="3"/>
      <c r="E34" s="3"/>
      <c r="F34" s="3"/>
      <c r="G34" s="3"/>
      <c r="H34" s="18">
        <v>120000</v>
      </c>
      <c r="I34" s="5">
        <f>+H34/H5</f>
        <v>5.9503148708285811E-2</v>
      </c>
      <c r="J34" s="10">
        <v>1</v>
      </c>
      <c r="K34" s="11">
        <f>+H34*$J$34</f>
        <v>120000</v>
      </c>
    </row>
    <row r="35" spans="2:11" x14ac:dyDescent="0.25">
      <c r="B35" s="3"/>
      <c r="C35" s="3"/>
      <c r="D35" s="3"/>
      <c r="E35" s="3"/>
      <c r="F35" s="3"/>
      <c r="G35" s="3"/>
      <c r="H35" s="9"/>
      <c r="I35" s="5"/>
      <c r="J35" s="10"/>
      <c r="K35" s="11"/>
    </row>
    <row r="36" spans="2:11" hidden="1" x14ac:dyDescent="0.25">
      <c r="B36" s="4" t="s">
        <v>20</v>
      </c>
      <c r="C36" s="3"/>
      <c r="D36" s="3"/>
      <c r="E36" s="3"/>
      <c r="F36" s="3"/>
      <c r="G36" s="3"/>
      <c r="H36" s="9"/>
      <c r="I36" s="5"/>
      <c r="J36" s="14"/>
      <c r="K36" s="11"/>
    </row>
    <row r="37" spans="2:11" hidden="1" x14ac:dyDescent="0.25">
      <c r="B37" s="3"/>
      <c r="C37" s="3" t="s">
        <v>21</v>
      </c>
      <c r="D37" s="3"/>
      <c r="E37" s="3"/>
      <c r="F37" s="3"/>
      <c r="G37" s="3"/>
      <c r="H37" s="18"/>
      <c r="I37" s="5">
        <f>+H37/H5</f>
        <v>0</v>
      </c>
      <c r="J37" s="14"/>
      <c r="K37" s="11"/>
    </row>
    <row r="38" spans="2:11" ht="6" hidden="1" customHeight="1" x14ac:dyDescent="0.25">
      <c r="B38" s="3"/>
      <c r="C38" s="3"/>
      <c r="D38" s="3"/>
      <c r="E38" s="3"/>
      <c r="F38" s="3"/>
      <c r="G38" s="3"/>
      <c r="H38" s="9"/>
      <c r="I38" s="5"/>
      <c r="J38" s="14"/>
      <c r="K38" s="11"/>
    </row>
    <row r="39" spans="2:11" hidden="1" x14ac:dyDescent="0.25">
      <c r="B39" s="4" t="s">
        <v>22</v>
      </c>
      <c r="C39" s="3"/>
      <c r="D39" s="3"/>
      <c r="E39" s="3"/>
      <c r="F39" s="3"/>
      <c r="G39" s="3"/>
      <c r="H39" s="9"/>
      <c r="I39" s="5"/>
      <c r="J39" s="14"/>
      <c r="K39" s="11"/>
    </row>
    <row r="40" spans="2:11" hidden="1" x14ac:dyDescent="0.25">
      <c r="B40" s="3"/>
      <c r="C40" s="3" t="s">
        <v>23</v>
      </c>
      <c r="D40" s="3"/>
      <c r="E40" s="3"/>
      <c r="F40" s="3"/>
      <c r="G40" s="3"/>
      <c r="H40" s="18"/>
      <c r="I40" s="5">
        <f>+H40/H5</f>
        <v>0</v>
      </c>
      <c r="J40" s="14"/>
      <c r="K40" s="11"/>
    </row>
    <row r="41" spans="2:11" ht="5.25" hidden="1" customHeight="1" x14ac:dyDescent="0.25">
      <c r="B41" s="3"/>
      <c r="C41" s="3"/>
      <c r="D41" s="3"/>
      <c r="E41" s="3"/>
      <c r="F41" s="3"/>
      <c r="G41" s="3"/>
      <c r="H41" s="3"/>
      <c r="I41" s="5"/>
      <c r="J41" s="14"/>
      <c r="K41" s="11"/>
    </row>
    <row r="42" spans="2:11" x14ac:dyDescent="0.25">
      <c r="B42" s="4" t="s">
        <v>24</v>
      </c>
      <c r="C42" s="3"/>
      <c r="D42" s="3"/>
      <c r="E42" s="3"/>
      <c r="F42" s="3"/>
      <c r="G42" s="3"/>
      <c r="H42" s="3"/>
      <c r="I42" s="5"/>
      <c r="J42" s="14"/>
      <c r="K42" s="11"/>
    </row>
    <row r="43" spans="2:11" x14ac:dyDescent="0.25">
      <c r="B43" s="3"/>
      <c r="C43" s="3" t="s">
        <v>25</v>
      </c>
      <c r="D43" s="3"/>
      <c r="E43" s="3"/>
      <c r="F43" s="3"/>
      <c r="G43" s="3"/>
      <c r="H43" s="19">
        <f>+H5-(+SUM(H22:H41))</f>
        <v>1111700</v>
      </c>
      <c r="I43" s="5">
        <f>+H43/H5</f>
        <v>0.55124708682501111</v>
      </c>
      <c r="J43" s="10">
        <v>1.02</v>
      </c>
      <c r="K43" s="11">
        <f>+H43*$J$43</f>
        <v>1133934</v>
      </c>
    </row>
    <row r="44" spans="2:11" x14ac:dyDescent="0.25">
      <c r="B44" s="3"/>
      <c r="C44" s="3"/>
      <c r="D44" s="3"/>
      <c r="E44" s="3"/>
      <c r="F44" s="3"/>
      <c r="G44" s="3"/>
      <c r="H44" s="3"/>
      <c r="I44" s="5"/>
      <c r="J44" s="14"/>
      <c r="K44" s="11"/>
    </row>
    <row r="45" spans="2:11" ht="15.75" thickBot="1" x14ac:dyDescent="0.3">
      <c r="B45" s="3"/>
      <c r="C45" s="3"/>
      <c r="D45" s="3"/>
      <c r="E45" s="3"/>
      <c r="F45" s="3"/>
      <c r="G45" s="3"/>
      <c r="H45" s="3"/>
      <c r="I45" s="5"/>
      <c r="J45" s="20" t="s">
        <v>26</v>
      </c>
      <c r="K45" s="21">
        <f>SUM(K11:K43)</f>
        <v>2049274</v>
      </c>
    </row>
    <row r="46" spans="2:11" ht="9.75" customHeight="1" thickBot="1" x14ac:dyDescent="0.3">
      <c r="B46" s="22"/>
      <c r="C46" s="22"/>
      <c r="D46" s="22"/>
      <c r="E46" s="22"/>
      <c r="F46" s="22"/>
      <c r="G46" s="23"/>
      <c r="H46" s="23"/>
      <c r="I46" s="24"/>
      <c r="J46" s="20"/>
      <c r="K46" s="25"/>
    </row>
    <row r="47" spans="2:11" ht="20.25" x14ac:dyDescent="0.3">
      <c r="B47" s="48" t="s">
        <v>40</v>
      </c>
      <c r="C47" s="49"/>
      <c r="D47" s="49"/>
      <c r="E47" s="49"/>
      <c r="F47" s="49"/>
      <c r="G47" s="49"/>
      <c r="H47" s="49"/>
      <c r="I47" s="50"/>
      <c r="J47" s="20"/>
      <c r="K47" s="25"/>
    </row>
    <row r="48" spans="2:11" ht="20.25" x14ac:dyDescent="0.3">
      <c r="B48" s="51" t="s">
        <v>41</v>
      </c>
      <c r="C48" s="52"/>
      <c r="D48" s="52"/>
      <c r="E48" s="52"/>
      <c r="F48" s="52"/>
      <c r="G48" s="52"/>
      <c r="H48" s="52"/>
      <c r="I48" s="53"/>
      <c r="J48" s="20"/>
      <c r="K48" s="26" t="s">
        <v>51</v>
      </c>
    </row>
    <row r="49" spans="2:11" ht="15.75" x14ac:dyDescent="0.25">
      <c r="B49" s="27"/>
      <c r="C49" s="22"/>
      <c r="D49" s="22"/>
      <c r="E49" s="22"/>
      <c r="F49" s="22"/>
      <c r="G49" s="22"/>
      <c r="H49" s="22"/>
      <c r="I49" s="28"/>
      <c r="J49" s="14"/>
      <c r="K49" s="29" t="str">
        <f>'[1]Key Inputs'!E34</f>
        <v>2023</v>
      </c>
    </row>
    <row r="50" spans="2:11" ht="18" x14ac:dyDescent="0.25">
      <c r="B50" s="27"/>
      <c r="C50" s="22"/>
      <c r="D50" s="22"/>
      <c r="E50" s="30" t="s">
        <v>28</v>
      </c>
      <c r="F50" s="30"/>
      <c r="G50" s="22"/>
      <c r="H50" s="23"/>
      <c r="I50" s="28"/>
      <c r="J50" s="14"/>
      <c r="K50" s="25"/>
    </row>
    <row r="51" spans="2:11" ht="18" x14ac:dyDescent="0.25">
      <c r="B51" s="27"/>
      <c r="C51" s="22"/>
      <c r="D51" s="22"/>
      <c r="E51" s="30"/>
      <c r="F51" s="30" t="s">
        <v>29</v>
      </c>
      <c r="G51" s="22"/>
      <c r="H51" s="31">
        <v>366700</v>
      </c>
      <c r="I51" s="28"/>
      <c r="J51" s="14"/>
      <c r="K51" s="25">
        <f>H51</f>
        <v>366700</v>
      </c>
    </row>
    <row r="52" spans="2:11" ht="18" x14ac:dyDescent="0.25">
      <c r="B52" s="27"/>
      <c r="C52" s="22"/>
      <c r="D52" s="22"/>
      <c r="E52" s="30"/>
      <c r="F52" s="30" t="s">
        <v>45</v>
      </c>
      <c r="G52" s="22"/>
      <c r="H52" s="31">
        <v>1650000</v>
      </c>
      <c r="I52" s="28"/>
      <c r="J52" s="14"/>
      <c r="K52" s="25">
        <f>H52</f>
        <v>1650000</v>
      </c>
    </row>
    <row r="53" spans="2:11" ht="18" hidden="1" x14ac:dyDescent="0.25">
      <c r="B53" s="27"/>
      <c r="C53" s="22"/>
      <c r="D53" s="22"/>
      <c r="E53" s="30"/>
      <c r="F53" s="30" t="s">
        <v>31</v>
      </c>
      <c r="G53" s="22"/>
      <c r="H53" s="31"/>
      <c r="I53" s="28"/>
      <c r="J53" s="14"/>
      <c r="K53" s="31"/>
    </row>
    <row r="54" spans="2:11" ht="18" hidden="1" x14ac:dyDescent="0.25">
      <c r="B54" s="27"/>
      <c r="C54" s="22"/>
      <c r="D54" s="22"/>
      <c r="E54" s="30"/>
      <c r="F54" s="30" t="s">
        <v>32</v>
      </c>
      <c r="G54" s="22"/>
      <c r="H54" s="31"/>
      <c r="I54" s="28"/>
      <c r="J54" s="14"/>
      <c r="K54" s="25"/>
    </row>
    <row r="55" spans="2:11" ht="18" hidden="1" x14ac:dyDescent="0.25">
      <c r="B55" s="27"/>
      <c r="C55" s="22"/>
      <c r="D55" s="22"/>
      <c r="E55" s="30"/>
      <c r="F55" s="30" t="s">
        <v>33</v>
      </c>
      <c r="G55" s="22"/>
      <c r="H55" s="31"/>
      <c r="I55" s="28"/>
      <c r="J55" s="14"/>
      <c r="K55" s="25"/>
    </row>
    <row r="56" spans="2:11" ht="18" hidden="1" x14ac:dyDescent="0.25">
      <c r="B56" s="27"/>
      <c r="C56" s="22"/>
      <c r="D56" s="22"/>
      <c r="E56" s="30"/>
      <c r="F56" s="30" t="s">
        <v>34</v>
      </c>
      <c r="G56" s="22"/>
      <c r="H56" s="31"/>
      <c r="I56" s="28"/>
      <c r="J56" s="14"/>
      <c r="K56" s="25"/>
    </row>
    <row r="57" spans="2:11" ht="18" x14ac:dyDescent="0.25">
      <c r="B57" s="27"/>
      <c r="C57" s="22"/>
      <c r="D57" s="22"/>
      <c r="E57" s="30"/>
      <c r="F57" s="30"/>
      <c r="G57" s="22"/>
      <c r="H57" s="32">
        <f>SUM(H51:H56)</f>
        <v>2016700</v>
      </c>
      <c r="I57" s="28"/>
      <c r="J57" s="14"/>
      <c r="K57" s="32">
        <f>SUM(K51:K56)</f>
        <v>2016700</v>
      </c>
    </row>
    <row r="58" spans="2:11" ht="7.5" customHeight="1" x14ac:dyDescent="0.25">
      <c r="B58" s="27"/>
      <c r="C58" s="22"/>
      <c r="D58" s="22"/>
      <c r="E58" s="30"/>
      <c r="F58" s="30"/>
      <c r="G58" s="22"/>
      <c r="H58" s="23"/>
      <c r="I58" s="28"/>
      <c r="J58" s="14"/>
      <c r="K58" s="25"/>
    </row>
    <row r="59" spans="2:11" ht="18" x14ac:dyDescent="0.25">
      <c r="B59" s="27"/>
      <c r="C59" s="22"/>
      <c r="D59" s="22"/>
      <c r="E59" s="30"/>
      <c r="F59" s="30"/>
      <c r="G59" s="22"/>
      <c r="H59" s="37"/>
      <c r="I59" s="28"/>
      <c r="J59" s="14"/>
      <c r="K59" s="36"/>
    </row>
    <row r="60" spans="2:11" ht="18" x14ac:dyDescent="0.25">
      <c r="B60" s="27"/>
      <c r="C60" s="22"/>
      <c r="D60" s="22"/>
      <c r="E60" s="30"/>
      <c r="F60" s="30"/>
      <c r="G60" s="22"/>
      <c r="H60" s="37"/>
      <c r="I60" s="28"/>
      <c r="J60" s="14" t="s">
        <v>49</v>
      </c>
      <c r="K60" s="36">
        <v>0</v>
      </c>
    </row>
    <row r="61" spans="2:11" ht="18" x14ac:dyDescent="0.25">
      <c r="B61" s="27"/>
      <c r="C61" s="22"/>
      <c r="D61" s="22"/>
      <c r="E61" s="30"/>
      <c r="F61" s="30"/>
      <c r="G61" s="22"/>
      <c r="H61" s="37"/>
      <c r="I61" s="28"/>
      <c r="J61" s="14"/>
      <c r="K61" s="36"/>
    </row>
    <row r="62" spans="2:11" ht="18" x14ac:dyDescent="0.25">
      <c r="B62" s="27"/>
      <c r="C62" s="22"/>
      <c r="D62" s="22"/>
      <c r="E62" s="30"/>
      <c r="F62" s="30"/>
      <c r="G62" s="22"/>
      <c r="H62" s="37"/>
      <c r="I62" s="28"/>
      <c r="J62" s="14" t="s">
        <v>38</v>
      </c>
      <c r="K62" s="36">
        <v>20000</v>
      </c>
    </row>
    <row r="63" spans="2:11" ht="18" x14ac:dyDescent="0.25">
      <c r="B63" s="27"/>
      <c r="C63" s="22"/>
      <c r="D63" s="22"/>
      <c r="E63" s="30"/>
      <c r="F63" s="30"/>
      <c r="G63" s="22"/>
      <c r="H63" s="37"/>
      <c r="I63" s="28"/>
      <c r="J63" s="14"/>
      <c r="K63" s="36"/>
    </row>
    <row r="64" spans="2:11" ht="18" x14ac:dyDescent="0.25">
      <c r="B64" s="27"/>
      <c r="C64" s="22"/>
      <c r="D64" s="22"/>
      <c r="E64" s="30"/>
      <c r="F64" s="30"/>
      <c r="G64" s="22"/>
      <c r="H64" s="37"/>
      <c r="I64" s="28"/>
      <c r="J64" s="38" t="s">
        <v>39</v>
      </c>
      <c r="K64" s="39">
        <f>(1914760.85)+K57-H5+K62+K60</f>
        <v>1934760.85</v>
      </c>
    </row>
    <row r="65" spans="2:11" x14ac:dyDescent="0.25">
      <c r="B65" s="27"/>
      <c r="C65" s="22"/>
      <c r="D65" s="22"/>
      <c r="E65" s="22"/>
      <c r="F65" s="22"/>
      <c r="G65" s="22"/>
      <c r="H65" s="22"/>
      <c r="I65" s="28"/>
      <c r="J65" s="14"/>
      <c r="K65" s="40"/>
    </row>
    <row r="66" spans="2:11" ht="15.75" x14ac:dyDescent="0.25">
      <c r="G66" s="41"/>
      <c r="H66" s="41"/>
      <c r="I66" s="42"/>
      <c r="J66" s="47" t="s">
        <v>61</v>
      </c>
      <c r="K66" s="46">
        <v>1914760.85</v>
      </c>
    </row>
    <row r="67" spans="2:11" ht="15.75" x14ac:dyDescent="0.25">
      <c r="G67" s="41"/>
      <c r="H67" s="41"/>
      <c r="I67" s="42"/>
      <c r="J67" s="47"/>
      <c r="K67" s="46"/>
    </row>
    <row r="68" spans="2:11" ht="15.75" x14ac:dyDescent="0.25">
      <c r="G68" s="41"/>
      <c r="H68" s="41"/>
      <c r="I68" s="42"/>
      <c r="J68" s="47" t="s">
        <v>60</v>
      </c>
      <c r="K68" s="46">
        <f>K66-K64</f>
        <v>-20000</v>
      </c>
    </row>
    <row r="69" spans="2:11" ht="15.75" x14ac:dyDescent="0.25">
      <c r="G69" s="41"/>
      <c r="H69" s="41"/>
      <c r="I69" s="42"/>
      <c r="K69" s="46"/>
    </row>
    <row r="70" spans="2:11" ht="15.75" x14ac:dyDescent="0.25">
      <c r="G70" s="41"/>
      <c r="H70" s="41"/>
      <c r="I70" s="42"/>
      <c r="K70" s="46"/>
    </row>
    <row r="71" spans="2:11" ht="15.75" x14ac:dyDescent="0.25">
      <c r="G71" s="41"/>
      <c r="H71" s="41"/>
      <c r="I71" s="42"/>
      <c r="K71" s="46"/>
    </row>
    <row r="72" spans="2:11" ht="15.75" x14ac:dyDescent="0.25">
      <c r="G72" s="41"/>
      <c r="H72" s="41"/>
      <c r="I72" s="42"/>
    </row>
    <row r="73" spans="2:11" ht="15.75" x14ac:dyDescent="0.25">
      <c r="G73" s="41"/>
      <c r="H73" s="41"/>
      <c r="I73" s="42"/>
    </row>
    <row r="74" spans="2:11" ht="15.75" x14ac:dyDescent="0.25">
      <c r="G74" s="41"/>
      <c r="H74" s="41"/>
      <c r="I74" s="42"/>
    </row>
    <row r="75" spans="2:11" ht="15.75" x14ac:dyDescent="0.25">
      <c r="G75" s="41"/>
      <c r="H75" s="41"/>
      <c r="I75" s="42"/>
    </row>
    <row r="76" spans="2:11" x14ac:dyDescent="0.25">
      <c r="I76" s="43"/>
    </row>
  </sheetData>
  <mergeCells count="4">
    <mergeCell ref="B2:K2"/>
    <mergeCell ref="B3:K3"/>
    <mergeCell ref="B47:I47"/>
    <mergeCell ref="B48:I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C7169-4C7F-4814-AE6F-9C291EF29CE1}">
  <dimension ref="B2:M76"/>
  <sheetViews>
    <sheetView topLeftCell="A11" workbookViewId="0">
      <selection activeCell="G70" sqref="G70"/>
    </sheetView>
  </sheetViews>
  <sheetFormatPr defaultRowHeight="15" x14ac:dyDescent="0.25"/>
  <cols>
    <col min="1" max="1" width="2.7109375" customWidth="1"/>
    <col min="2" max="5" width="4.7109375" customWidth="1"/>
    <col min="6" max="6" width="10.7109375" customWidth="1"/>
    <col min="7" max="7" width="17" customWidth="1"/>
    <col min="8" max="8" width="17.42578125" bestFit="1" customWidth="1"/>
    <col min="9" max="9" width="10.7109375" customWidth="1"/>
    <col min="10" max="10" width="26.28515625" bestFit="1" customWidth="1"/>
    <col min="11" max="11" width="17.7109375" customWidth="1"/>
    <col min="12" max="12" width="15.7109375" customWidth="1"/>
    <col min="13" max="13" width="49.42578125" customWidth="1"/>
  </cols>
  <sheetData>
    <row r="2" spans="2:13" s="1" customFormat="1" ht="20.25" x14ac:dyDescent="0.3">
      <c r="B2" s="52" t="s">
        <v>40</v>
      </c>
      <c r="C2" s="52"/>
      <c r="D2" s="52"/>
      <c r="E2" s="52"/>
      <c r="F2" s="52"/>
      <c r="G2" s="52"/>
      <c r="H2" s="52"/>
      <c r="I2" s="52"/>
      <c r="J2" s="52"/>
      <c r="K2" s="52"/>
      <c r="M2" s="2"/>
    </row>
    <row r="3" spans="2:13" s="1" customFormat="1" ht="20.25" x14ac:dyDescent="0.3">
      <c r="B3" s="52" t="s">
        <v>44</v>
      </c>
      <c r="C3" s="52"/>
      <c r="D3" s="52"/>
      <c r="E3" s="52"/>
      <c r="F3" s="52"/>
      <c r="G3" s="52"/>
      <c r="H3" s="52"/>
      <c r="I3" s="52"/>
      <c r="J3" s="52"/>
      <c r="K3" s="52"/>
    </row>
    <row r="4" spans="2:13" x14ac:dyDescent="0.25">
      <c r="B4" s="3"/>
      <c r="C4" s="3"/>
      <c r="D4" s="3"/>
      <c r="E4" s="3"/>
      <c r="F4" s="3"/>
      <c r="G4" s="3"/>
      <c r="H4" s="3"/>
      <c r="I4" s="3"/>
      <c r="J4" s="3"/>
      <c r="K4" s="8" t="s">
        <v>0</v>
      </c>
    </row>
    <row r="5" spans="2:13" ht="15.75" thickBot="1" x14ac:dyDescent="0.3">
      <c r="B5" s="4" t="s">
        <v>1</v>
      </c>
      <c r="C5" s="3"/>
      <c r="D5" s="3"/>
      <c r="E5" s="3"/>
      <c r="F5" s="3"/>
      <c r="G5" s="9"/>
      <c r="H5" s="44">
        <v>2572084.9300000002</v>
      </c>
      <c r="I5" s="5">
        <f>SUM(I9:I53)</f>
        <v>1</v>
      </c>
      <c r="J5" s="6"/>
      <c r="K5" s="7">
        <v>2024</v>
      </c>
    </row>
    <row r="6" spans="2:13" ht="9" customHeight="1" thickTop="1" x14ac:dyDescent="0.25">
      <c r="B6" s="3"/>
      <c r="C6" s="3"/>
      <c r="D6" s="3"/>
      <c r="E6" s="3"/>
      <c r="F6" s="3"/>
      <c r="G6" s="9"/>
      <c r="H6" s="9"/>
      <c r="I6" s="5"/>
      <c r="J6" s="3"/>
      <c r="K6" s="3"/>
    </row>
    <row r="7" spans="2:13" x14ac:dyDescent="0.25">
      <c r="B7" s="4" t="s">
        <v>2</v>
      </c>
      <c r="C7" s="3"/>
      <c r="D7" s="3"/>
      <c r="E7" s="3"/>
      <c r="F7" s="3"/>
      <c r="G7" s="9"/>
      <c r="H7" s="9"/>
      <c r="I7" s="5"/>
      <c r="J7" s="3"/>
      <c r="K7" s="3"/>
    </row>
    <row r="8" spans="2:13" x14ac:dyDescent="0.25">
      <c r="B8" s="3"/>
      <c r="C8" s="3" t="s">
        <v>3</v>
      </c>
      <c r="D8" s="3"/>
      <c r="E8" s="3"/>
      <c r="F8" s="3"/>
      <c r="G8" s="9"/>
      <c r="H8" s="9"/>
      <c r="I8" s="5"/>
      <c r="J8" s="3"/>
      <c r="K8" s="3"/>
    </row>
    <row r="9" spans="2:13" x14ac:dyDescent="0.25">
      <c r="B9" s="3"/>
      <c r="C9" s="3"/>
      <c r="D9" s="3" t="s">
        <v>46</v>
      </c>
      <c r="E9" s="3"/>
      <c r="F9" s="3"/>
      <c r="G9" s="9">
        <v>1505500</v>
      </c>
      <c r="H9" s="9"/>
      <c r="I9" s="5"/>
      <c r="J9" s="10">
        <v>1.03</v>
      </c>
      <c r="K9" s="11">
        <f>+G9*$J$9</f>
        <v>1550665</v>
      </c>
      <c r="L9" s="12"/>
    </row>
    <row r="10" spans="2:13" hidden="1" x14ac:dyDescent="0.25">
      <c r="B10" s="3"/>
      <c r="C10" s="3"/>
      <c r="D10" s="3" t="s">
        <v>5</v>
      </c>
      <c r="E10" s="3"/>
      <c r="F10" s="3"/>
      <c r="G10" s="13"/>
      <c r="H10" s="9"/>
      <c r="I10" s="5"/>
      <c r="J10" s="10">
        <v>1.03</v>
      </c>
      <c r="K10" s="11">
        <f>+G10*$J$9</f>
        <v>0</v>
      </c>
    </row>
    <row r="11" spans="2:13" ht="15.75" thickBot="1" x14ac:dyDescent="0.3">
      <c r="B11" s="3"/>
      <c r="C11" s="3"/>
      <c r="D11" s="3"/>
      <c r="E11" s="3" t="s">
        <v>6</v>
      </c>
      <c r="F11" s="3"/>
      <c r="G11" s="9"/>
      <c r="H11" s="9">
        <f>SUM(G9:G10)</f>
        <v>1505500</v>
      </c>
      <c r="I11" s="5"/>
      <c r="J11" s="14"/>
      <c r="K11" s="15">
        <f>+K9+K10</f>
        <v>1550665</v>
      </c>
    </row>
    <row r="12" spans="2:13" ht="9.75" customHeight="1" thickTop="1" x14ac:dyDescent="0.25">
      <c r="B12" s="3"/>
      <c r="C12" s="3"/>
      <c r="D12" s="3"/>
      <c r="E12" s="3"/>
      <c r="F12" s="3"/>
      <c r="G12" s="9"/>
      <c r="H12" s="9"/>
      <c r="I12" s="5"/>
      <c r="J12" s="14"/>
      <c r="K12" s="11"/>
    </row>
    <row r="13" spans="2:13" x14ac:dyDescent="0.25">
      <c r="B13" s="3"/>
      <c r="C13" s="3" t="s">
        <v>7</v>
      </c>
      <c r="D13" s="3"/>
      <c r="E13" s="3"/>
      <c r="F13" s="3"/>
      <c r="G13" s="9"/>
      <c r="H13" s="9"/>
      <c r="I13" s="5"/>
      <c r="J13" s="14"/>
      <c r="K13" s="11"/>
    </row>
    <row r="14" spans="2:13" x14ac:dyDescent="0.25">
      <c r="B14" s="3"/>
      <c r="C14" s="3"/>
      <c r="D14" s="3" t="s">
        <v>47</v>
      </c>
      <c r="E14" s="3"/>
      <c r="F14" s="3"/>
      <c r="G14" s="9"/>
      <c r="H14" s="9">
        <v>75000</v>
      </c>
      <c r="I14" s="5"/>
      <c r="J14" s="10">
        <v>1.03</v>
      </c>
      <c r="K14" s="11">
        <f>+H14*$J$14</f>
        <v>77250</v>
      </c>
    </row>
    <row r="15" spans="2:13" x14ac:dyDescent="0.25">
      <c r="B15" s="3"/>
      <c r="C15" s="3" t="s">
        <v>9</v>
      </c>
      <c r="D15" s="3"/>
      <c r="E15" s="3"/>
      <c r="F15" s="3"/>
      <c r="G15" s="9"/>
      <c r="H15" s="9"/>
      <c r="I15" s="5"/>
      <c r="J15" s="14"/>
      <c r="K15" s="11"/>
    </row>
    <row r="16" spans="2:13" x14ac:dyDescent="0.25">
      <c r="B16" s="3"/>
      <c r="C16" s="3"/>
      <c r="D16" s="3" t="s">
        <v>47</v>
      </c>
      <c r="E16" s="3"/>
      <c r="F16" s="3"/>
      <c r="G16" s="9"/>
      <c r="H16" s="9">
        <v>17800</v>
      </c>
      <c r="I16" s="5"/>
      <c r="J16" s="10">
        <v>1.02</v>
      </c>
      <c r="K16" s="11">
        <f>+H16*$J$16</f>
        <v>18156</v>
      </c>
    </row>
    <row r="17" spans="2:11" x14ac:dyDescent="0.25">
      <c r="B17" s="3"/>
      <c r="C17" s="3"/>
      <c r="D17" s="3" t="s">
        <v>47</v>
      </c>
      <c r="E17" s="3"/>
      <c r="F17" s="3"/>
      <c r="G17" s="9"/>
      <c r="H17" s="9">
        <v>39000</v>
      </c>
      <c r="I17" s="5"/>
      <c r="J17" s="10">
        <v>1.02</v>
      </c>
      <c r="K17" s="11">
        <f>+J17*$H$17</f>
        <v>39780</v>
      </c>
    </row>
    <row r="18" spans="2:11" hidden="1" x14ac:dyDescent="0.25">
      <c r="B18" s="3"/>
      <c r="C18" s="3"/>
      <c r="D18" s="3" t="s">
        <v>8</v>
      </c>
      <c r="E18" s="3"/>
      <c r="F18" s="3"/>
      <c r="G18" s="9"/>
      <c r="H18" s="9"/>
      <c r="I18" s="5"/>
      <c r="J18" s="14"/>
      <c r="K18" s="11"/>
    </row>
    <row r="19" spans="2:11" hidden="1" x14ac:dyDescent="0.25">
      <c r="B19" s="3"/>
      <c r="C19" s="3"/>
      <c r="D19" s="3" t="s">
        <v>10</v>
      </c>
      <c r="E19" s="3"/>
      <c r="F19" s="3"/>
      <c r="G19" s="9"/>
      <c r="H19" s="9"/>
      <c r="I19" s="5"/>
      <c r="J19" s="14"/>
      <c r="K19" s="11"/>
    </row>
    <row r="20" spans="2:11" x14ac:dyDescent="0.25">
      <c r="B20" s="3"/>
      <c r="C20" s="3" t="s">
        <v>11</v>
      </c>
      <c r="D20" s="3"/>
      <c r="E20" s="3"/>
      <c r="F20" s="3"/>
      <c r="G20" s="9"/>
      <c r="H20" s="9"/>
      <c r="I20" s="5"/>
      <c r="J20" s="14"/>
      <c r="K20" s="11"/>
    </row>
    <row r="21" spans="2:11" x14ac:dyDescent="0.25">
      <c r="B21" s="3"/>
      <c r="C21" s="3"/>
      <c r="D21" s="3" t="s">
        <v>46</v>
      </c>
      <c r="E21" s="3"/>
      <c r="F21" s="3"/>
      <c r="G21" s="9"/>
      <c r="H21" s="9">
        <v>23000</v>
      </c>
      <c r="I21" s="5"/>
      <c r="J21" s="10">
        <v>1.05</v>
      </c>
      <c r="K21" s="11">
        <f>+H21*$J$21</f>
        <v>24150</v>
      </c>
    </row>
    <row r="22" spans="2:11" x14ac:dyDescent="0.25">
      <c r="B22" s="3"/>
      <c r="C22" s="3" t="s">
        <v>12</v>
      </c>
      <c r="D22" s="3"/>
      <c r="E22" s="3"/>
      <c r="F22" s="3"/>
      <c r="G22" s="9"/>
      <c r="H22" s="16">
        <f>SUM(H11:H21)</f>
        <v>1660300</v>
      </c>
      <c r="I22" s="17">
        <f>+H22/H5</f>
        <v>0.64550745608544113</v>
      </c>
      <c r="J22" s="14"/>
      <c r="K22" s="11"/>
    </row>
    <row r="23" spans="2:11" x14ac:dyDescent="0.25">
      <c r="B23" s="3"/>
      <c r="C23" s="3"/>
      <c r="D23" s="3"/>
      <c r="E23" s="3"/>
      <c r="F23" s="3"/>
      <c r="G23" s="9"/>
      <c r="H23" s="9"/>
      <c r="I23" s="5"/>
      <c r="J23" s="14"/>
      <c r="K23" s="11"/>
    </row>
    <row r="24" spans="2:11" x14ac:dyDescent="0.25">
      <c r="B24" s="4" t="s">
        <v>13</v>
      </c>
      <c r="C24" s="3"/>
      <c r="D24" s="3"/>
      <c r="E24" s="3"/>
      <c r="F24" s="3"/>
      <c r="G24" s="9"/>
      <c r="H24" s="9"/>
      <c r="I24" s="5"/>
      <c r="J24" s="14"/>
      <c r="K24" s="11"/>
    </row>
    <row r="25" spans="2:11" x14ac:dyDescent="0.25">
      <c r="B25" s="3"/>
      <c r="C25" s="3" t="s">
        <v>46</v>
      </c>
      <c r="D25" s="3"/>
      <c r="E25" s="3"/>
      <c r="F25" s="3"/>
      <c r="G25" s="9"/>
      <c r="H25" s="18">
        <v>46000</v>
      </c>
      <c r="I25" s="5">
        <f>+H25/H5</f>
        <v>1.788432390527633E-2</v>
      </c>
      <c r="J25" s="10">
        <v>1.02</v>
      </c>
      <c r="K25" s="11">
        <f>+H25*$J$25</f>
        <v>46920</v>
      </c>
    </row>
    <row r="26" spans="2:11" ht="4.5" customHeight="1" x14ac:dyDescent="0.25">
      <c r="B26" s="3"/>
      <c r="C26" s="3"/>
      <c r="D26" s="3"/>
      <c r="E26" s="3"/>
      <c r="F26" s="3"/>
      <c r="G26" s="9"/>
      <c r="H26" s="9"/>
      <c r="I26" s="5"/>
      <c r="J26" s="10"/>
      <c r="K26" s="11"/>
    </row>
    <row r="27" spans="2:11" x14ac:dyDescent="0.25">
      <c r="B27" s="4" t="s">
        <v>14</v>
      </c>
      <c r="C27" s="3"/>
      <c r="D27" s="3"/>
      <c r="E27" s="3"/>
      <c r="F27" s="3"/>
      <c r="G27" s="3"/>
      <c r="H27" s="9"/>
      <c r="I27" s="5"/>
      <c r="J27" s="10"/>
      <c r="K27" s="11"/>
    </row>
    <row r="28" spans="2:11" x14ac:dyDescent="0.25">
      <c r="B28" s="3"/>
      <c r="C28" s="3" t="s">
        <v>48</v>
      </c>
      <c r="D28" s="3"/>
      <c r="E28" s="3"/>
      <c r="F28" s="3"/>
      <c r="G28" s="3"/>
      <c r="H28" s="18">
        <f>157006.94+42477.99</f>
        <v>199484.93</v>
      </c>
      <c r="I28" s="5">
        <f>+H28/H5</f>
        <v>7.7557676137855983E-2</v>
      </c>
      <c r="J28" s="10">
        <v>0.95</v>
      </c>
      <c r="K28" s="11">
        <f>+H28*$J$28</f>
        <v>189510.68349999998</v>
      </c>
    </row>
    <row r="29" spans="2:11" ht="3" customHeight="1" x14ac:dyDescent="0.25">
      <c r="B29" s="3"/>
      <c r="C29" s="3"/>
      <c r="D29" s="3"/>
      <c r="E29" s="3"/>
      <c r="F29" s="3"/>
      <c r="G29" s="3"/>
      <c r="H29" s="9"/>
      <c r="I29" s="5"/>
      <c r="J29" s="10"/>
      <c r="K29" s="11"/>
    </row>
    <row r="30" spans="2:11" hidden="1" x14ac:dyDescent="0.25">
      <c r="B30" s="4" t="s">
        <v>16</v>
      </c>
      <c r="C30" s="3"/>
      <c r="D30" s="3"/>
      <c r="E30" s="3"/>
      <c r="F30" s="3"/>
      <c r="G30" s="3"/>
      <c r="H30" s="9"/>
      <c r="I30" s="5"/>
      <c r="J30" s="10"/>
      <c r="K30" s="11"/>
    </row>
    <row r="31" spans="2:11" hidden="1" x14ac:dyDescent="0.25">
      <c r="B31" s="3"/>
      <c r="C31" s="3" t="s">
        <v>17</v>
      </c>
      <c r="D31" s="3"/>
      <c r="E31" s="3"/>
      <c r="F31" s="3"/>
      <c r="G31" s="3"/>
      <c r="H31" s="18"/>
      <c r="I31" s="5">
        <f>+H31/H5</f>
        <v>0</v>
      </c>
      <c r="J31" s="10">
        <v>1</v>
      </c>
      <c r="K31" s="11">
        <f>+H31*$J$31</f>
        <v>0</v>
      </c>
    </row>
    <row r="32" spans="2:11" ht="6" hidden="1" customHeight="1" x14ac:dyDescent="0.25">
      <c r="B32" s="3"/>
      <c r="C32" s="3"/>
      <c r="D32" s="3"/>
      <c r="E32" s="3"/>
      <c r="F32" s="3"/>
      <c r="G32" s="3"/>
      <c r="H32" s="9"/>
      <c r="I32" s="5"/>
      <c r="J32" s="10"/>
      <c r="K32" s="11"/>
    </row>
    <row r="33" spans="2:11" x14ac:dyDescent="0.25">
      <c r="B33" s="4" t="s">
        <v>18</v>
      </c>
      <c r="C33" s="3"/>
      <c r="D33" s="3"/>
      <c r="E33" s="3"/>
      <c r="F33" s="3"/>
      <c r="G33" s="3"/>
      <c r="H33" s="9"/>
      <c r="I33" s="5"/>
      <c r="J33" s="10"/>
      <c r="K33" s="11"/>
    </row>
    <row r="34" spans="2:11" x14ac:dyDescent="0.25">
      <c r="B34" s="3"/>
      <c r="C34" s="3" t="s">
        <v>48</v>
      </c>
      <c r="D34" s="3"/>
      <c r="E34" s="3"/>
      <c r="F34" s="3"/>
      <c r="G34" s="3"/>
      <c r="H34" s="18">
        <f>50000+184000</f>
        <v>234000</v>
      </c>
      <c r="I34" s="5">
        <f>+H34/H5</f>
        <v>9.0976778126840463E-2</v>
      </c>
      <c r="J34" s="10">
        <v>1</v>
      </c>
      <c r="K34" s="11">
        <f>+H34*$J$34</f>
        <v>234000</v>
      </c>
    </row>
    <row r="35" spans="2:11" x14ac:dyDescent="0.25">
      <c r="B35" s="3"/>
      <c r="C35" s="3"/>
      <c r="D35" s="3"/>
      <c r="E35" s="3"/>
      <c r="F35" s="3"/>
      <c r="G35" s="3"/>
      <c r="H35" s="9"/>
      <c r="I35" s="5"/>
      <c r="J35" s="10"/>
      <c r="K35" s="11"/>
    </row>
    <row r="36" spans="2:11" hidden="1" x14ac:dyDescent="0.25">
      <c r="B36" s="4" t="s">
        <v>20</v>
      </c>
      <c r="C36" s="3"/>
      <c r="D36" s="3"/>
      <c r="E36" s="3"/>
      <c r="F36" s="3"/>
      <c r="G36" s="3"/>
      <c r="H36" s="9"/>
      <c r="I36" s="5"/>
      <c r="J36" s="14"/>
      <c r="K36" s="11"/>
    </row>
    <row r="37" spans="2:11" hidden="1" x14ac:dyDescent="0.25">
      <c r="B37" s="3"/>
      <c r="C37" s="3" t="s">
        <v>21</v>
      </c>
      <c r="D37" s="3"/>
      <c r="E37" s="3"/>
      <c r="F37" s="3"/>
      <c r="G37" s="3"/>
      <c r="H37" s="18"/>
      <c r="I37" s="5">
        <f>+H37/H5</f>
        <v>0</v>
      </c>
      <c r="J37" s="14"/>
      <c r="K37" s="11"/>
    </row>
    <row r="38" spans="2:11" ht="6" hidden="1" customHeight="1" x14ac:dyDescent="0.25">
      <c r="B38" s="3"/>
      <c r="C38" s="3"/>
      <c r="D38" s="3"/>
      <c r="E38" s="3"/>
      <c r="F38" s="3"/>
      <c r="G38" s="3"/>
      <c r="H38" s="9"/>
      <c r="I38" s="5"/>
      <c r="J38" s="14"/>
      <c r="K38" s="11"/>
    </row>
    <row r="39" spans="2:11" hidden="1" x14ac:dyDescent="0.25">
      <c r="B39" s="4" t="s">
        <v>22</v>
      </c>
      <c r="C39" s="3"/>
      <c r="D39" s="3"/>
      <c r="E39" s="3"/>
      <c r="F39" s="3"/>
      <c r="G39" s="3"/>
      <c r="H39" s="9"/>
      <c r="I39" s="5"/>
      <c r="J39" s="14"/>
      <c r="K39" s="11"/>
    </row>
    <row r="40" spans="2:11" hidden="1" x14ac:dyDescent="0.25">
      <c r="B40" s="3"/>
      <c r="C40" s="3" t="s">
        <v>23</v>
      </c>
      <c r="D40" s="3"/>
      <c r="E40" s="3"/>
      <c r="F40" s="3"/>
      <c r="G40" s="3"/>
      <c r="H40" s="18"/>
      <c r="I40" s="5">
        <f>+H40/H5</f>
        <v>0</v>
      </c>
      <c r="J40" s="14"/>
      <c r="K40" s="11"/>
    </row>
    <row r="41" spans="2:11" ht="5.25" hidden="1" customHeight="1" x14ac:dyDescent="0.25">
      <c r="B41" s="3"/>
      <c r="C41" s="3"/>
      <c r="D41" s="3"/>
      <c r="E41" s="3"/>
      <c r="F41" s="3"/>
      <c r="G41" s="3"/>
      <c r="H41" s="3"/>
      <c r="I41" s="5"/>
      <c r="J41" s="14"/>
      <c r="K41" s="11"/>
    </row>
    <row r="42" spans="2:11" x14ac:dyDescent="0.25">
      <c r="B42" s="4" t="s">
        <v>24</v>
      </c>
      <c r="C42" s="3"/>
      <c r="D42" s="3"/>
      <c r="E42" s="3"/>
      <c r="F42" s="3"/>
      <c r="G42" s="3"/>
      <c r="H42" s="3"/>
      <c r="I42" s="5"/>
      <c r="J42" s="14"/>
      <c r="K42" s="11"/>
    </row>
    <row r="43" spans="2:11" x14ac:dyDescent="0.25">
      <c r="B43" s="3"/>
      <c r="C43" s="3" t="s">
        <v>25</v>
      </c>
      <c r="D43" s="3"/>
      <c r="E43" s="3"/>
      <c r="F43" s="3"/>
      <c r="G43" s="3"/>
      <c r="H43" s="19">
        <f>+H5-(+SUM(H22:H41))</f>
        <v>432300.00000000047</v>
      </c>
      <c r="I43" s="5">
        <f>+H43/H5</f>
        <v>0.16807376574458621</v>
      </c>
      <c r="J43" s="10">
        <v>1.02</v>
      </c>
      <c r="K43" s="11">
        <f>+H43*$J$43</f>
        <v>440946.00000000047</v>
      </c>
    </row>
    <row r="44" spans="2:11" x14ac:dyDescent="0.25">
      <c r="B44" s="3"/>
      <c r="C44" s="3"/>
      <c r="D44" s="3"/>
      <c r="E44" s="3"/>
      <c r="F44" s="3"/>
      <c r="G44" s="3"/>
      <c r="H44" s="3"/>
      <c r="I44" s="5"/>
      <c r="J44" s="14"/>
      <c r="K44" s="11"/>
    </row>
    <row r="45" spans="2:11" ht="15.75" thickBot="1" x14ac:dyDescent="0.3">
      <c r="B45" s="3"/>
      <c r="C45" s="3"/>
      <c r="D45" s="3"/>
      <c r="E45" s="3"/>
      <c r="F45" s="3"/>
      <c r="G45" s="3"/>
      <c r="H45" s="3"/>
      <c r="I45" s="5"/>
      <c r="J45" s="20" t="s">
        <v>26</v>
      </c>
      <c r="K45" s="21">
        <f>SUM(K11:K43)</f>
        <v>2621377.6835000007</v>
      </c>
    </row>
    <row r="46" spans="2:11" ht="9.75" customHeight="1" thickBot="1" x14ac:dyDescent="0.3">
      <c r="B46" s="22"/>
      <c r="C46" s="22"/>
      <c r="D46" s="22"/>
      <c r="E46" s="22"/>
      <c r="F46" s="22"/>
      <c r="G46" s="23"/>
      <c r="H46" s="23"/>
      <c r="I46" s="24"/>
      <c r="J46" s="20"/>
      <c r="K46" s="25"/>
    </row>
    <row r="47" spans="2:11" ht="20.25" x14ac:dyDescent="0.3">
      <c r="B47" s="48" t="s">
        <v>40</v>
      </c>
      <c r="C47" s="49"/>
      <c r="D47" s="49"/>
      <c r="E47" s="49"/>
      <c r="F47" s="49"/>
      <c r="G47" s="49"/>
      <c r="H47" s="49"/>
      <c r="I47" s="50"/>
      <c r="J47" s="20"/>
      <c r="K47" s="25"/>
    </row>
    <row r="48" spans="2:11" ht="20.25" x14ac:dyDescent="0.3">
      <c r="B48" s="51" t="s">
        <v>41</v>
      </c>
      <c r="C48" s="52"/>
      <c r="D48" s="52"/>
      <c r="E48" s="52"/>
      <c r="F48" s="52"/>
      <c r="G48" s="52"/>
      <c r="H48" s="52"/>
      <c r="I48" s="53"/>
      <c r="J48" s="20"/>
      <c r="K48" s="26" t="s">
        <v>50</v>
      </c>
    </row>
    <row r="49" spans="2:11" ht="15.75" x14ac:dyDescent="0.25">
      <c r="B49" s="27"/>
      <c r="C49" s="22"/>
      <c r="D49" s="22"/>
      <c r="E49" s="22"/>
      <c r="F49" s="22"/>
      <c r="G49" s="22"/>
      <c r="H49" s="22"/>
      <c r="I49" s="28"/>
      <c r="J49" s="14"/>
      <c r="K49" s="29" t="str">
        <f>'[1]Key Inputs'!E34</f>
        <v>2023</v>
      </c>
    </row>
    <row r="50" spans="2:11" ht="18" x14ac:dyDescent="0.25">
      <c r="B50" s="27"/>
      <c r="C50" s="22"/>
      <c r="D50" s="22"/>
      <c r="E50" s="30" t="s">
        <v>28</v>
      </c>
      <c r="F50" s="30"/>
      <c r="G50" s="22"/>
      <c r="H50" s="23"/>
      <c r="I50" s="28"/>
      <c r="J50" s="14"/>
      <c r="K50" s="25"/>
    </row>
    <row r="51" spans="2:11" ht="18" x14ac:dyDescent="0.25">
      <c r="B51" s="27"/>
      <c r="C51" s="22"/>
      <c r="D51" s="22"/>
      <c r="E51" s="30"/>
      <c r="F51" s="30" t="s">
        <v>29</v>
      </c>
      <c r="G51" s="22"/>
      <c r="H51" s="31">
        <v>442084.93</v>
      </c>
      <c r="I51" s="28"/>
      <c r="J51" s="14"/>
      <c r="K51" s="25">
        <f>H51</f>
        <v>442084.93</v>
      </c>
    </row>
    <row r="52" spans="2:11" ht="18" x14ac:dyDescent="0.25">
      <c r="B52" s="27"/>
      <c r="C52" s="22"/>
      <c r="D52" s="22"/>
      <c r="E52" s="30"/>
      <c r="F52" s="30" t="s">
        <v>52</v>
      </c>
      <c r="G52" s="22"/>
      <c r="H52" s="31">
        <v>1850000</v>
      </c>
      <c r="I52" s="28"/>
      <c r="J52" s="14"/>
      <c r="K52" s="25">
        <f>H52</f>
        <v>1850000</v>
      </c>
    </row>
    <row r="53" spans="2:11" ht="18" x14ac:dyDescent="0.25">
      <c r="B53" s="27"/>
      <c r="C53" s="22"/>
      <c r="D53" s="22"/>
      <c r="E53" s="30"/>
      <c r="F53" s="30" t="s">
        <v>53</v>
      </c>
      <c r="G53" s="22"/>
      <c r="H53" s="31">
        <v>80000</v>
      </c>
      <c r="I53" s="28"/>
      <c r="J53" s="14"/>
      <c r="K53" s="25">
        <f t="shared" ref="K53:K56" si="0">H53</f>
        <v>80000</v>
      </c>
    </row>
    <row r="54" spans="2:11" ht="18" x14ac:dyDescent="0.25">
      <c r="B54" s="27"/>
      <c r="C54" s="22"/>
      <c r="D54" s="22"/>
      <c r="E54" s="30"/>
      <c r="F54" s="30" t="s">
        <v>54</v>
      </c>
      <c r="G54" s="22"/>
      <c r="H54" s="31">
        <v>100000</v>
      </c>
      <c r="I54" s="28"/>
      <c r="J54" s="14"/>
      <c r="K54" s="25">
        <f t="shared" si="0"/>
        <v>100000</v>
      </c>
    </row>
    <row r="55" spans="2:11" ht="18" x14ac:dyDescent="0.25">
      <c r="B55" s="27"/>
      <c r="C55" s="22"/>
      <c r="D55" s="22"/>
      <c r="E55" s="30"/>
      <c r="F55" s="30" t="s">
        <v>55</v>
      </c>
      <c r="G55" s="22"/>
      <c r="H55" s="31">
        <v>90000</v>
      </c>
      <c r="I55" s="28"/>
      <c r="J55" s="14"/>
      <c r="K55" s="25">
        <f t="shared" si="0"/>
        <v>90000</v>
      </c>
    </row>
    <row r="56" spans="2:11" ht="18" x14ac:dyDescent="0.25">
      <c r="B56" s="27"/>
      <c r="C56" s="22"/>
      <c r="D56" s="22"/>
      <c r="E56" s="30"/>
      <c r="F56" s="30" t="s">
        <v>56</v>
      </c>
      <c r="G56" s="22"/>
      <c r="H56" s="31">
        <v>10000</v>
      </c>
      <c r="I56" s="28"/>
      <c r="J56" s="14"/>
      <c r="K56" s="25">
        <f t="shared" si="0"/>
        <v>10000</v>
      </c>
    </row>
    <row r="57" spans="2:11" ht="18" x14ac:dyDescent="0.25">
      <c r="B57" s="27"/>
      <c r="C57" s="22"/>
      <c r="D57" s="22"/>
      <c r="E57" s="30"/>
      <c r="F57" s="30"/>
      <c r="G57" s="22"/>
      <c r="H57" s="32">
        <f>SUM(H51:H56)</f>
        <v>2572084.9300000002</v>
      </c>
      <c r="I57" s="28"/>
      <c r="J57" s="14"/>
      <c r="K57" s="32">
        <f>SUM(K51:K56)</f>
        <v>2572084.9300000002</v>
      </c>
    </row>
    <row r="58" spans="2:11" ht="7.5" customHeight="1" x14ac:dyDescent="0.25">
      <c r="B58" s="27"/>
      <c r="C58" s="22"/>
      <c r="D58" s="22"/>
      <c r="E58" s="30"/>
      <c r="F58" s="30"/>
      <c r="G58" s="22"/>
      <c r="H58" s="23"/>
      <c r="I58" s="28"/>
      <c r="J58" s="14"/>
      <c r="K58" s="25"/>
    </row>
    <row r="59" spans="2:11" ht="18" x14ac:dyDescent="0.25">
      <c r="B59" s="27"/>
      <c r="C59" s="22"/>
      <c r="D59" s="22"/>
      <c r="E59" s="30"/>
      <c r="F59" s="30"/>
      <c r="G59" s="22"/>
      <c r="H59" s="37"/>
      <c r="I59" s="28"/>
      <c r="J59" s="14"/>
      <c r="K59" s="36"/>
    </row>
    <row r="60" spans="2:11" ht="18" x14ac:dyDescent="0.25">
      <c r="B60" s="27"/>
      <c r="C60" s="22"/>
      <c r="D60" s="22"/>
      <c r="E60" s="30"/>
      <c r="F60" s="30"/>
      <c r="G60" s="22"/>
      <c r="H60" s="37"/>
      <c r="I60" s="28"/>
      <c r="J60" s="14" t="s">
        <v>49</v>
      </c>
      <c r="K60" s="36">
        <v>0</v>
      </c>
    </row>
    <row r="61" spans="2:11" ht="18" x14ac:dyDescent="0.25">
      <c r="B61" s="27"/>
      <c r="C61" s="22"/>
      <c r="D61" s="22"/>
      <c r="E61" s="30"/>
      <c r="F61" s="30"/>
      <c r="G61" s="22"/>
      <c r="H61" s="37"/>
      <c r="I61" s="28"/>
      <c r="J61" s="14"/>
      <c r="K61" s="36"/>
    </row>
    <row r="62" spans="2:11" ht="18" x14ac:dyDescent="0.25">
      <c r="B62" s="27"/>
      <c r="C62" s="22"/>
      <c r="D62" s="22"/>
      <c r="E62" s="30"/>
      <c r="F62" s="30"/>
      <c r="G62" s="22"/>
      <c r="H62" s="37"/>
      <c r="I62" s="28"/>
      <c r="J62" s="14" t="s">
        <v>38</v>
      </c>
      <c r="K62" s="36">
        <v>60000</v>
      </c>
    </row>
    <row r="63" spans="2:11" ht="18" x14ac:dyDescent="0.25">
      <c r="B63" s="27"/>
      <c r="C63" s="22"/>
      <c r="D63" s="22"/>
      <c r="E63" s="30"/>
      <c r="F63" s="30"/>
      <c r="G63" s="22"/>
      <c r="H63" s="37"/>
      <c r="I63" s="28"/>
      <c r="J63" s="14"/>
      <c r="K63" s="36"/>
    </row>
    <row r="64" spans="2:11" ht="18" x14ac:dyDescent="0.25">
      <c r="B64" s="27"/>
      <c r="C64" s="22"/>
      <c r="D64" s="22"/>
      <c r="E64" s="30"/>
      <c r="F64" s="30"/>
      <c r="G64" s="22"/>
      <c r="H64" s="37"/>
      <c r="I64" s="28"/>
      <c r="J64" s="38" t="s">
        <v>39</v>
      </c>
      <c r="K64" s="39">
        <f>(986517.76)+K57-H5+K62+K60</f>
        <v>1046517.7600000002</v>
      </c>
    </row>
    <row r="65" spans="2:11" x14ac:dyDescent="0.25">
      <c r="B65" s="27"/>
      <c r="C65" s="22"/>
      <c r="D65" s="22"/>
      <c r="E65" s="22"/>
      <c r="F65" s="22"/>
      <c r="G65" s="22"/>
      <c r="H65" s="22"/>
      <c r="I65" s="28"/>
      <c r="J65" s="14"/>
      <c r="K65" s="40"/>
    </row>
    <row r="66" spans="2:11" ht="15.75" x14ac:dyDescent="0.25">
      <c r="G66" s="41"/>
      <c r="H66" s="41"/>
      <c r="I66" s="42"/>
      <c r="J66" s="47" t="s">
        <v>61</v>
      </c>
      <c r="K66" s="46">
        <v>986517.76</v>
      </c>
    </row>
    <row r="67" spans="2:11" ht="15.75" x14ac:dyDescent="0.25">
      <c r="G67" s="41"/>
      <c r="H67" s="41"/>
      <c r="I67" s="42"/>
      <c r="J67" s="47"/>
      <c r="K67" s="46"/>
    </row>
    <row r="68" spans="2:11" ht="15.75" x14ac:dyDescent="0.25">
      <c r="G68" s="41"/>
      <c r="H68" s="41"/>
      <c r="I68" s="42"/>
      <c r="J68" s="47" t="s">
        <v>60</v>
      </c>
      <c r="K68" s="46">
        <f>K66-K64</f>
        <v>-60000.000000000233</v>
      </c>
    </row>
    <row r="69" spans="2:11" ht="15.75" x14ac:dyDescent="0.25">
      <c r="G69" s="41"/>
      <c r="H69" s="41"/>
      <c r="I69" s="42"/>
      <c r="K69" s="46"/>
    </row>
    <row r="70" spans="2:11" ht="15.75" x14ac:dyDescent="0.25">
      <c r="G70" s="41"/>
      <c r="H70" s="41"/>
      <c r="I70" s="42"/>
      <c r="K70" s="46"/>
    </row>
    <row r="71" spans="2:11" ht="15.75" x14ac:dyDescent="0.25">
      <c r="G71" s="41"/>
      <c r="H71" s="41"/>
      <c r="I71" s="42"/>
      <c r="K71" s="46"/>
    </row>
    <row r="72" spans="2:11" ht="15.75" x14ac:dyDescent="0.25">
      <c r="G72" s="41"/>
      <c r="H72" s="41"/>
      <c r="I72" s="42"/>
    </row>
    <row r="73" spans="2:11" ht="15.75" x14ac:dyDescent="0.25">
      <c r="G73" s="41"/>
      <c r="H73" s="41"/>
      <c r="I73" s="42"/>
    </row>
    <row r="74" spans="2:11" ht="15.75" x14ac:dyDescent="0.25">
      <c r="G74" s="41"/>
      <c r="H74" s="41"/>
      <c r="I74" s="42"/>
    </row>
    <row r="75" spans="2:11" ht="15.75" x14ac:dyDescent="0.25">
      <c r="G75" s="41"/>
      <c r="H75" s="41"/>
      <c r="I75" s="42"/>
    </row>
    <row r="76" spans="2:11" x14ac:dyDescent="0.25">
      <c r="I76" s="43"/>
    </row>
  </sheetData>
  <mergeCells count="4">
    <mergeCell ref="B2:K2"/>
    <mergeCell ref="B3:K3"/>
    <mergeCell ref="B47:I47"/>
    <mergeCell ref="B48:I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CURRENT FUND</vt:lpstr>
      <vt:lpstr>SEWER FUND</vt:lpstr>
      <vt:lpstr>BEACH FUND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Mannino</dc:creator>
  <cp:lastModifiedBy>Erica Kostyz</cp:lastModifiedBy>
  <dcterms:created xsi:type="dcterms:W3CDTF">2023-03-27T22:06:24Z</dcterms:created>
  <dcterms:modified xsi:type="dcterms:W3CDTF">2023-07-05T16:44:33Z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