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8134\"/>
    </mc:Choice>
  </mc:AlternateContent>
  <xr:revisionPtr revIDLastSave="0" documentId="8_{2E8AAA5A-A143-4A30-9DCF-D22BF8E3927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roll History" sheetId="1" r:id="rId1"/>
    <sheet name="Report Runtime Settings" sheetId="2" r:id="rId2"/>
  </sheets>
  <definedNames>
    <definedName name="__bookmark_1">'Payroll History'!$A$1:$W$72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Y3" i="1" l="1"/>
  <c r="Y19" i="1"/>
  <c r="Y2" i="1"/>
  <c r="V2" i="1"/>
  <c r="H3" i="1" l="1"/>
  <c r="I3" i="1"/>
  <c r="K3" i="1"/>
  <c r="H4" i="1"/>
  <c r="I4" i="1"/>
  <c r="K4" i="1"/>
  <c r="H5" i="1"/>
  <c r="I5" i="1"/>
  <c r="H6" i="1"/>
  <c r="I6" i="1"/>
  <c r="K6" i="1"/>
  <c r="H7" i="1"/>
  <c r="I7" i="1"/>
  <c r="J7" i="1"/>
  <c r="K7" i="1"/>
  <c r="H8" i="1"/>
  <c r="I8" i="1"/>
  <c r="K8" i="1"/>
  <c r="H9" i="1"/>
  <c r="I9" i="1"/>
  <c r="K9" i="1"/>
  <c r="H10" i="1"/>
  <c r="I10" i="1"/>
  <c r="H11" i="1"/>
  <c r="I11" i="1"/>
  <c r="H12" i="1"/>
  <c r="I12" i="1"/>
  <c r="H13" i="1"/>
  <c r="I13" i="1"/>
  <c r="K13" i="1"/>
  <c r="H14" i="1"/>
  <c r="I14" i="1"/>
  <c r="J14" i="1"/>
  <c r="K14" i="1"/>
  <c r="H15" i="1"/>
  <c r="I15" i="1"/>
  <c r="H16" i="1"/>
  <c r="I16" i="1"/>
  <c r="H17" i="1"/>
  <c r="I17" i="1"/>
  <c r="K17" i="1"/>
  <c r="H18" i="1"/>
  <c r="I18" i="1"/>
  <c r="H19" i="1"/>
  <c r="K19" i="1"/>
  <c r="H20" i="1"/>
  <c r="I20" i="1"/>
  <c r="H21" i="1"/>
  <c r="I21" i="1"/>
  <c r="J21" i="1"/>
  <c r="H22" i="1"/>
  <c r="I22" i="1"/>
  <c r="K22" i="1"/>
  <c r="H23" i="1"/>
  <c r="I23" i="1"/>
  <c r="J23" i="1"/>
  <c r="K23" i="1"/>
  <c r="H24" i="1"/>
  <c r="I24" i="1"/>
  <c r="M12" i="1"/>
  <c r="Q11" i="1"/>
  <c r="P11" i="1"/>
  <c r="O11" i="1"/>
  <c r="M11" i="1"/>
  <c r="Q10" i="1"/>
  <c r="W10" i="1" s="1"/>
  <c r="Y10" i="1" s="1"/>
  <c r="M10" i="1"/>
  <c r="S9" i="1"/>
  <c r="Q9" i="1"/>
  <c r="O9" i="1"/>
  <c r="M9" i="1"/>
  <c r="Q8" i="1"/>
  <c r="W8" i="1" s="1"/>
  <c r="Y8" i="1" s="1"/>
  <c r="M8" i="1"/>
  <c r="T7" i="1"/>
  <c r="Q7" i="1"/>
  <c r="O7" i="1"/>
  <c r="M7" i="1"/>
  <c r="Q6" i="1"/>
  <c r="W6" i="1" s="1"/>
  <c r="Y6" i="1" s="1"/>
  <c r="M6" i="1"/>
  <c r="S5" i="1"/>
  <c r="Q5" i="1"/>
  <c r="M5" i="1"/>
  <c r="R4" i="1"/>
  <c r="Q4" i="1"/>
  <c r="Q3" i="1"/>
  <c r="M3" i="1"/>
  <c r="Q2" i="1"/>
  <c r="M2" i="1"/>
  <c r="Q24" i="1"/>
  <c r="O24" i="1"/>
  <c r="M24" i="1"/>
  <c r="S24" i="1"/>
  <c r="E24" i="1"/>
  <c r="Q23" i="1"/>
  <c r="P23" i="1"/>
  <c r="O23" i="1"/>
  <c r="M23" i="1"/>
  <c r="E23" i="1"/>
  <c r="Q22" i="1"/>
  <c r="W22" i="1" s="1"/>
  <c r="Y22" i="1" s="1"/>
  <c r="M22" i="1"/>
  <c r="E22" i="1"/>
  <c r="Q21" i="1"/>
  <c r="W21" i="1" s="1"/>
  <c r="Y21" i="1" s="1"/>
  <c r="M21" i="1"/>
  <c r="E21" i="1"/>
  <c r="S20" i="1"/>
  <c r="Q20" i="1"/>
  <c r="M20" i="1"/>
  <c r="E20" i="1"/>
  <c r="Q19" i="1"/>
  <c r="M19" i="1"/>
  <c r="E19" i="1"/>
  <c r="Q18" i="1"/>
  <c r="W18" i="1" s="1"/>
  <c r="Y18" i="1" s="1"/>
  <c r="M18" i="1"/>
  <c r="E18" i="1"/>
  <c r="Q17" i="1"/>
  <c r="W17" i="1" s="1"/>
  <c r="Y17" i="1" s="1"/>
  <c r="M17" i="1"/>
  <c r="E17" i="1"/>
  <c r="S16" i="1"/>
  <c r="Q16" i="1"/>
  <c r="M16" i="1"/>
  <c r="E16" i="1"/>
  <c r="Q15" i="1"/>
  <c r="M15" i="1"/>
  <c r="O15" i="1"/>
  <c r="E15" i="1"/>
  <c r="Q14" i="1"/>
  <c r="W14" i="1" s="1"/>
  <c r="Y14" i="1" s="1"/>
  <c r="M14" i="1"/>
  <c r="E14" i="1"/>
  <c r="Q13" i="1"/>
  <c r="M13" i="1"/>
  <c r="O13" i="1"/>
  <c r="E13" i="1"/>
  <c r="Q12" i="1"/>
  <c r="W12" i="1" s="1"/>
  <c r="Y12" i="1" s="1"/>
  <c r="E12" i="1"/>
  <c r="E11" i="1"/>
  <c r="E10" i="1"/>
  <c r="E9" i="1"/>
  <c r="E8" i="1"/>
  <c r="E7" i="1"/>
  <c r="E6" i="1"/>
  <c r="E5" i="1"/>
  <c r="E4" i="1"/>
  <c r="E3" i="1"/>
  <c r="E2" i="1"/>
  <c r="W20" i="1" l="1"/>
  <c r="Y20" i="1" s="1"/>
  <c r="N9" i="1"/>
  <c r="V9" i="1" s="1"/>
  <c r="N5" i="1"/>
  <c r="V5" i="1" s="1"/>
  <c r="N15" i="1"/>
  <c r="V15" i="1" s="1"/>
  <c r="W5" i="1"/>
  <c r="Y5" i="1" s="1"/>
  <c r="W15" i="1"/>
  <c r="Y15" i="1" s="1"/>
  <c r="W7" i="1"/>
  <c r="Y7" i="1" s="1"/>
  <c r="W9" i="1"/>
  <c r="Y9" i="1" s="1"/>
  <c r="W23" i="1"/>
  <c r="Y23" i="1" s="1"/>
  <c r="W4" i="1"/>
  <c r="W11" i="1"/>
  <c r="Y11" i="1" s="1"/>
  <c r="W13" i="1"/>
  <c r="Y13" i="1" s="1"/>
  <c r="W16" i="1"/>
  <c r="Y16" i="1" s="1"/>
  <c r="W24" i="1"/>
  <c r="Y24" i="1" s="1"/>
  <c r="N6" i="1"/>
  <c r="V6" i="1" s="1"/>
  <c r="N18" i="1"/>
  <c r="V18" i="1" s="1"/>
  <c r="N14" i="1"/>
  <c r="V14" i="1" s="1"/>
  <c r="N20" i="1"/>
  <c r="V20" i="1" s="1"/>
  <c r="N23" i="1"/>
  <c r="V23" i="1" s="1"/>
  <c r="N24" i="1"/>
  <c r="V24" i="1" s="1"/>
  <c r="N4" i="1"/>
  <c r="V4" i="1" s="1"/>
  <c r="N10" i="1"/>
  <c r="V10" i="1" s="1"/>
  <c r="N11" i="1"/>
  <c r="V11" i="1" s="1"/>
  <c r="N21" i="1"/>
  <c r="V21" i="1" s="1"/>
  <c r="N8" i="1"/>
  <c r="V8" i="1" s="1"/>
  <c r="N13" i="1"/>
  <c r="V13" i="1" s="1"/>
  <c r="N22" i="1"/>
  <c r="V22" i="1" s="1"/>
  <c r="N7" i="1"/>
  <c r="V7" i="1" s="1"/>
  <c r="N16" i="1"/>
  <c r="V16" i="1" s="1"/>
  <c r="N19" i="1"/>
  <c r="V19" i="1" s="1"/>
  <c r="N3" i="1"/>
  <c r="V3" i="1" s="1"/>
  <c r="N17" i="1"/>
  <c r="V17" i="1" s="1"/>
  <c r="N12" i="1"/>
  <c r="V12" i="1" s="1"/>
</calcChain>
</file>

<file path=xl/sharedStrings.xml><?xml version="1.0" encoding="utf-8"?>
<sst xmlns="http://schemas.openxmlformats.org/spreadsheetml/2006/main" count="147" uniqueCount="125">
  <si>
    <t>FILE NUMBER</t>
  </si>
  <si>
    <t>POSITION ID</t>
  </si>
  <si>
    <t>DIST #</t>
  </si>
  <si>
    <t>NET PAY</t>
  </si>
  <si>
    <t>OVERTIME EARNINGS</t>
  </si>
  <si>
    <t>ADDITIONAL EARNINGS  : E31-POLICE PATROL</t>
  </si>
  <si>
    <t>ADDITIONAL EARNINGS  : E32-ROAD JOB</t>
  </si>
  <si>
    <t>ADDITIONAL EARNINGS  : E33-COMUNITY RATE</t>
  </si>
  <si>
    <t>ADDITIONAL EARNINGS  : E50-SPECIAL EVENTS</t>
  </si>
  <si>
    <t>ADDITIONAL EARNINGS  : EMT-EMT</t>
  </si>
  <si>
    <t>ADDITIONAL EARNINGS  : HBO-HB OPT</t>
  </si>
  <si>
    <t>ADDITIONAL EARNINGS  : HOL-HOLIDAY</t>
  </si>
  <si>
    <t>ADDITIONAL EARNINGS  : OEM-OEM PAY</t>
  </si>
  <si>
    <t>ADDITIONAL EARNINGS  : OIC-OFCR I CHG</t>
  </si>
  <si>
    <t>ADDITIONAL EARNINGS  : PAT-PATROL O/T</t>
  </si>
  <si>
    <t>Ackermann, Dean K</t>
  </si>
  <si>
    <t>000901</t>
  </si>
  <si>
    <t>8KC000901</t>
  </si>
  <si>
    <t>1</t>
  </si>
  <si>
    <t>Calaski, James C</t>
  </si>
  <si>
    <t>000167</t>
  </si>
  <si>
    <t>8KC000167</t>
  </si>
  <si>
    <t>Carter, Gregory M</t>
  </si>
  <si>
    <t>000428</t>
  </si>
  <si>
    <t>8KC000428</t>
  </si>
  <si>
    <t>Doney, Lucas W</t>
  </si>
  <si>
    <t>000675</t>
  </si>
  <si>
    <t>8KC000675</t>
  </si>
  <si>
    <t>Donnelly, James J</t>
  </si>
  <si>
    <t>001347</t>
  </si>
  <si>
    <t>8KC001347</t>
  </si>
  <si>
    <t>Evans, Samuel J</t>
  </si>
  <si>
    <t>001418</t>
  </si>
  <si>
    <t>8KC001418</t>
  </si>
  <si>
    <t>3</t>
  </si>
  <si>
    <t>Graziani, Theodore J</t>
  </si>
  <si>
    <t>001421</t>
  </si>
  <si>
    <t>8KC001421</t>
  </si>
  <si>
    <t>Henriques, Annamarie Mattina</t>
  </si>
  <si>
    <t>000671</t>
  </si>
  <si>
    <t>8KC000671</t>
  </si>
  <si>
    <t>Holguin, William</t>
  </si>
  <si>
    <t>001346</t>
  </si>
  <si>
    <t>8KC001346</t>
  </si>
  <si>
    <t>Mc Gill, James R</t>
  </si>
  <si>
    <t>000230</t>
  </si>
  <si>
    <t>8KC000230</t>
  </si>
  <si>
    <t>Mc Inerney, Christopher B</t>
  </si>
  <si>
    <t>000417</t>
  </si>
  <si>
    <t>8KC000417</t>
  </si>
  <si>
    <t>McGovern, Joseph</t>
  </si>
  <si>
    <t>000543</t>
  </si>
  <si>
    <t>8KC000543</t>
  </si>
  <si>
    <t>Onove, Nicholas M</t>
  </si>
  <si>
    <t>001420</t>
  </si>
  <si>
    <t>8KC001420</t>
  </si>
  <si>
    <t>Orsita, Sarah R</t>
  </si>
  <si>
    <t>001419</t>
  </si>
  <si>
    <t>8KC001419</t>
  </si>
  <si>
    <t>Pyatak, Adam R</t>
  </si>
  <si>
    <t>000319</t>
  </si>
  <si>
    <t>8KC000319</t>
  </si>
  <si>
    <t>Riggio, Frank W</t>
  </si>
  <si>
    <t>000950</t>
  </si>
  <si>
    <t>8KC000950</t>
  </si>
  <si>
    <t>Scott, Bryan M</t>
  </si>
  <si>
    <t>000706</t>
  </si>
  <si>
    <t>8KC000706</t>
  </si>
  <si>
    <t>Stanislao, Matthew A</t>
  </si>
  <si>
    <t>000267</t>
  </si>
  <si>
    <t>8KC000267</t>
  </si>
  <si>
    <t>Surdyka, Robert M</t>
  </si>
  <si>
    <t>000844</t>
  </si>
  <si>
    <t>8KC000844</t>
  </si>
  <si>
    <t>Tarantino, John V</t>
  </si>
  <si>
    <t>001340</t>
  </si>
  <si>
    <t>8KC001340</t>
  </si>
  <si>
    <t>Trover, Michael</t>
  </si>
  <si>
    <t>000465</t>
  </si>
  <si>
    <t>8KC000465</t>
  </si>
  <si>
    <t>Wojtecki, Robert</t>
  </si>
  <si>
    <t>000534</t>
  </si>
  <si>
    <t>8KC000534</t>
  </si>
  <si>
    <t>Yang, Murray</t>
  </si>
  <si>
    <t>001005</t>
  </si>
  <si>
    <t>8KC001005</t>
  </si>
  <si>
    <r>
      <rPr>
        <sz val="17"/>
        <color rgb="FF808080"/>
        <rFont val="Proxima Nova Rg"/>
      </rPr>
      <t>Payroll History</t>
    </r>
  </si>
  <si>
    <r>
      <rPr>
        <b/>
        <sz val="10"/>
        <color rgb="FF808080"/>
        <rFont val="Proxima Nova Rg"/>
      </rPr>
      <t>Created on: 08/05/2021</t>
    </r>
  </si>
  <si>
    <r>
      <rPr>
        <b/>
        <sz val="12"/>
        <color rgb="FF808080"/>
        <rFont val="Proxima Nova Rg"/>
      </rPr>
      <t>Report Runtime Settings    </t>
    </r>
    <r>
      <rPr>
        <sz val="12"/>
        <color rgb="FF808080"/>
        <rFont val="Proxima Nova Rg"/>
      </rPr>
      <t>The following settings were used to create this report</t>
    </r>
  </si>
  <si>
    <r>
      <rPr>
        <b/>
        <sz val="12"/>
        <color rgb="FF000000"/>
        <rFont val="Proxima Nova Rg"/>
      </rPr>
      <t>Employees Included</t>
    </r>
  </si>
  <si>
    <t>Employee List</t>
  </si>
  <si>
    <r>
      <rPr>
        <b/>
        <sz val="10"/>
        <color rgb="FF000000"/>
        <rFont val="Proxima Nova Rg"/>
      </rPr>
      <t>All Employees</t>
    </r>
  </si>
  <si>
    <t>Company Codes</t>
  </si>
  <si>
    <r>
      <rPr>
        <b/>
        <sz val="10"/>
        <color rgb="FF000000"/>
        <rFont val="Proxima Nova Rg"/>
      </rPr>
      <t>All Company Codes</t>
    </r>
  </si>
  <si>
    <t>Home Departments</t>
  </si>
  <si>
    <r>
      <rPr>
        <b/>
        <sz val="10"/>
        <color rgb="FF000000"/>
        <rFont val="Proxima Nova Rg"/>
      </rPr>
      <t>8KC-390000-Police</t>
    </r>
  </si>
  <si>
    <t>Locations</t>
  </si>
  <si>
    <r>
      <rPr>
        <b/>
        <sz val="10"/>
        <color rgb="FF000000"/>
        <rFont val="Proxima Nova Rg"/>
      </rPr>
      <t>All Locations</t>
    </r>
  </si>
  <si>
    <t>Business Units</t>
  </si>
  <si>
    <r>
      <rPr>
        <b/>
        <sz val="10"/>
        <color rgb="FF000000"/>
        <rFont val="Proxima Nova Rg"/>
      </rPr>
      <t>All Business Units</t>
    </r>
  </si>
  <si>
    <t>Home Cost Numbers</t>
  </si>
  <si>
    <r>
      <rPr>
        <b/>
        <sz val="10"/>
        <color rgb="FF000000"/>
        <rFont val="Proxima Nova Rg"/>
      </rPr>
      <t>All Home Cost Numbers</t>
    </r>
  </si>
  <si>
    <t>Date Range</t>
  </si>
  <si>
    <r>
      <rPr>
        <b/>
        <sz val="10"/>
        <color rgb="FF000000"/>
        <rFont val="Proxima Nova Rg"/>
      </rPr>
      <t>From: 01/01/2020 - To: 12/31/2020</t>
    </r>
  </si>
  <si>
    <r>
      <rPr>
        <sz val="10"/>
        <color rgb="FF808080"/>
        <rFont val="Proxima Nova Rg"/>
      </rPr>
      <t>Archived employees are NOT included</t>
    </r>
  </si>
  <si>
    <r>
      <rPr>
        <sz val="10"/>
        <color rgb="FF808080"/>
        <rFont val="Proxima Nova Rg"/>
      </rPr>
      <t>Employees with payroll history are NOT included</t>
    </r>
  </si>
  <si>
    <t>Fields Included</t>
  </si>
  <si>
    <r>
      <rPr>
        <sz val="10"/>
        <color rgb="FF808080"/>
        <rFont val="Proxima Nova Rg"/>
      </rPr>
      <t>Company Code, Name, File Number, Position ID, Status, Dist #, Gross Pay, Net Pay, Regular Earnings, Overtime Earnings, Additional Earnings, Total Earnings</t>
    </r>
  </si>
  <si>
    <t>Sort Order</t>
  </si>
  <si>
    <r>
      <rPr>
        <sz val="10"/>
        <color rgb="FF808080"/>
        <rFont val="Proxima Nova Rg"/>
      </rPr>
      <t>Company Code, Name, Position ID</t>
    </r>
  </si>
  <si>
    <t>Group By</t>
  </si>
  <si>
    <r>
      <rPr>
        <sz val="10"/>
        <color rgb="FF808080"/>
        <rFont val="Proxima Nova Rg"/>
      </rPr>
      <t>Name</t>
    </r>
  </si>
  <si>
    <t>Display Options</t>
  </si>
  <si>
    <r>
      <rPr>
        <sz val="10"/>
        <color rgb="FF808080"/>
        <rFont val="Proxima Nova Rg"/>
      </rPr>
      <t>Tax ID is Partially Masked</t>
    </r>
  </si>
  <si>
    <r>
      <rPr>
        <sz val="10"/>
        <color rgb="FF808080"/>
        <rFont val="Proxima Nova Rg"/>
      </rPr>
      <t>Employee Tax ID is Not Masked</t>
    </r>
  </si>
  <si>
    <r>
      <rPr>
        <sz val="10"/>
        <color rgb="FF808080"/>
        <rFont val="Proxima Nova Rg"/>
      </rPr>
      <t>Report Information displayed as of 08/05/2021</t>
    </r>
  </si>
  <si>
    <t>Note</t>
  </si>
  <si>
    <t>Payroll History</t>
  </si>
  <si>
    <t>Run Date:08/05/2021 02:34 PM EDT</t>
  </si>
  <si>
    <t>OVERTIME</t>
  </si>
  <si>
    <t>OTHER COMP</t>
  </si>
  <si>
    <t>BASE PAY</t>
  </si>
  <si>
    <t>OTHER COMPENSATION</t>
  </si>
  <si>
    <t>2020 BASE PAY</t>
  </si>
  <si>
    <t>GLEN ROCK  POLICE 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</si>
</sst>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;\-#,##0.00;#,##0.00"/>
    <numFmt numFmtId="165" formatCode="[$-10409]#,##0.00;\-#,##0.00"/>
  </numFmts>
  <fonts count="17">
    <font>
      <sz val="11"/>
      <color theme="1"/>
      <name val="Calibri"/>
    </font>
    <font>
      <b/>
      <sz val="9"/>
      <color rgb="FFFFFFFF"/>
      <name val="Proxima Nova Rg"/>
    </font>
    <font>
      <sz val="17"/>
      <color rgb="FF808080"/>
      <name val="Proxima Nova Rg"/>
    </font>
    <font>
      <b/>
      <sz val="10"/>
      <color rgb="FF808080"/>
      <name val="Proxima Nova Rg"/>
    </font>
    <font>
      <b/>
      <sz val="12"/>
      <color rgb="FF808080"/>
      <name val="Proxima Nova Rg"/>
    </font>
    <font>
      <sz val="2"/>
      <color rgb="FF000000"/>
      <name val="Serif"/>
      <family val="1"/>
    </font>
    <font>
      <b/>
      <sz val="12"/>
      <color rgb="FF000000"/>
      <name val="Proxima Nova Rg"/>
    </font>
    <font>
      <sz val="10"/>
      <color rgb="FF000000"/>
      <name val="Serif"/>
      <family val="1"/>
    </font>
    <font>
      <sz val="10"/>
      <color rgb="FF808080"/>
      <name val="Proxima Nova Rg"/>
    </font>
    <font>
      <b/>
      <sz val="10"/>
      <color rgb="FF000000"/>
      <name val="Proxima Nova Rg"/>
    </font>
    <font>
      <sz val="9"/>
      <color rgb="FF808080"/>
      <name val="Proxima Nova Rg"/>
    </font>
    <font>
      <sz val="12"/>
      <color rgb="FF808080"/>
      <name val="Proxima Nova Rg"/>
    </font>
    <font>
      <sz val="11"/>
      <color theme="1"/>
      <name val="Calibri"/>
    </font>
    <font>
      <sz val="8"/>
      <color rgb="FF000000"/>
      <name val="Arial"/>
    </font>
    <font>
      <b/>
      <sz val="10"/>
      <color rgb="FF666666"/>
      <name val="Arial Nova"/>
      <family val="2"/>
    </font>
    <font>
      <b/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3EBEDE"/>
      </patternFill>
    </fill>
    <fill>
      <patternFill patternType="solid">
        <fgColor rgb="FF89E3F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/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0" fillId="4" borderId="0" xfId="0" applyFont="1" applyFill="1" applyBorder="1" applyAlignment="1">
      <alignment horizontal="left" vertical="top" wrapText="1"/>
    </xf>
    <xf numFmtId="165" fontId="13" fillId="0" borderId="0" xfId="0" applyNumberFormat="1" applyFont="1" applyAlignment="1">
      <alignment horizontal="right" vertical="top" wrapText="1" readingOrder="1"/>
    </xf>
    <xf numFmtId="44" fontId="1" fillId="2" borderId="1" xfId="1" applyFont="1" applyFill="1" applyBorder="1" applyAlignment="1">
      <alignment horizontal="right" vertical="center" wrapText="1"/>
    </xf>
    <xf numFmtId="44" fontId="0" fillId="0" borderId="0" xfId="1" applyFont="1"/>
    <xf numFmtId="44" fontId="13" fillId="0" borderId="0" xfId="1" applyFont="1" applyAlignment="1">
      <alignment horizontal="right" vertical="top" wrapText="1" readingOrder="1"/>
    </xf>
    <xf numFmtId="44" fontId="1" fillId="2" borderId="3" xfId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164" fontId="14" fillId="0" borderId="1" xfId="0" applyNumberFormat="1" applyFont="1" applyBorder="1" applyAlignment="1">
      <alignment horizontal="right" wrapText="1"/>
    </xf>
    <xf numFmtId="164" fontId="14" fillId="5" borderId="1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 readingOrder="1"/>
    </xf>
    <xf numFmtId="44" fontId="15" fillId="0" borderId="0" xfId="1" applyFont="1" applyAlignment="1">
      <alignment horizontal="right" wrapText="1" readingOrder="1"/>
    </xf>
    <xf numFmtId="44" fontId="14" fillId="0" borderId="1" xfId="1" applyFont="1" applyBorder="1" applyAlignment="1">
      <alignment horizontal="right" wrapText="1"/>
    </xf>
    <xf numFmtId="44" fontId="14" fillId="3" borderId="1" xfId="1" applyFont="1" applyFill="1" applyBorder="1" applyAlignment="1">
      <alignment horizontal="right" wrapText="1"/>
    </xf>
    <xf numFmtId="44" fontId="16" fillId="0" borderId="0" xfId="1" applyFont="1" applyAlignment="1"/>
    <xf numFmtId="164" fontId="14" fillId="3" borderId="1" xfId="0" applyNumberFormat="1" applyFont="1" applyFill="1" applyBorder="1" applyAlignment="1">
      <alignment horizontal="right" wrapText="1"/>
    </xf>
    <xf numFmtId="44" fontId="14" fillId="5" borderId="1" xfId="1" applyFont="1" applyFill="1" applyBorder="1" applyAlignment="1">
      <alignment horizontal="right" wrapText="1"/>
    </xf>
    <xf numFmtId="0" fontId="10" fillId="4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72"/>
  <sheetViews>
    <sheetView tabSelected="1" workbookViewId="0">
      <selection activeCell="Z6" sqref="Z6"/>
    </sheetView>
  </sheetViews>
  <sheetFormatPr defaultColWidth="9.140625" defaultRowHeight="15"/>
  <cols>
    <col min="1" max="1" width="25.140625" bestFit="1" customWidth="1"/>
    <col min="2" max="2" width="11.7109375" hidden="1" customWidth="1"/>
    <col min="3" max="3" width="10.85546875" hidden="1" customWidth="1"/>
    <col min="4" max="4" width="6.85546875" hidden="1" customWidth="1"/>
    <col min="5" max="5" width="20.5703125" hidden="1" customWidth="1"/>
    <col min="6" max="12" width="13.7109375" hidden="1" customWidth="1"/>
    <col min="13" max="13" width="13.7109375" style="6" customWidth="1"/>
    <col min="14" max="15" width="13.7109375" style="6" hidden="1" customWidth="1"/>
    <col min="16" max="16" width="16" style="6" hidden="1" customWidth="1"/>
    <col min="17" max="21" width="13.7109375" style="6" hidden="1" customWidth="1"/>
    <col min="22" max="22" width="13.7109375" style="6" customWidth="1"/>
    <col min="23" max="23" width="13.7109375" style="6" hidden="1" customWidth="1"/>
    <col min="24" max="24" width="9.140625" style="6" hidden="1" customWidth="1"/>
    <col min="25" max="25" width="15" style="6" customWidth="1"/>
  </cols>
  <sheetData>
    <row r="1" spans="1:25" ht="48">
      <c r="A1" s="1" t="s">
        <v>124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121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/>
      <c r="M1" s="9" t="s">
        <v>123</v>
      </c>
      <c r="N1" s="5" t="s">
        <v>119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13</v>
      </c>
      <c r="T1" s="5" t="s">
        <v>14</v>
      </c>
      <c r="U1" s="5"/>
      <c r="V1" s="9" t="s">
        <v>119</v>
      </c>
      <c r="W1" s="5" t="s">
        <v>120</v>
      </c>
      <c r="Y1" s="8" t="s">
        <v>122</v>
      </c>
    </row>
    <row r="2" spans="1:25">
      <c r="A2" s="10" t="s">
        <v>15</v>
      </c>
      <c r="B2" s="11" t="s">
        <v>16</v>
      </c>
      <c r="C2" s="11" t="s">
        <v>17</v>
      </c>
      <c r="D2" s="11" t="s">
        <v>18</v>
      </c>
      <c r="E2" s="12">
        <f t="shared" ref="E2" si="0">ROUND(0,2)</f>
        <v>0</v>
      </c>
      <c r="F2" s="13">
        <f>ROUND(86315.59,2)</f>
        <v>86315.59</v>
      </c>
      <c r="G2" s="14"/>
      <c r="H2" s="14"/>
      <c r="I2" s="14"/>
      <c r="J2" s="14"/>
      <c r="K2" s="14"/>
      <c r="L2" s="15">
        <v>83684.44</v>
      </c>
      <c r="M2" s="16">
        <f>SUM(L2+F2)</f>
        <v>170000.03</v>
      </c>
      <c r="N2" s="17"/>
      <c r="O2" s="17"/>
      <c r="P2" s="17"/>
      <c r="Q2" s="18">
        <f>ROUND(3152.61,2)</f>
        <v>3152.61</v>
      </c>
      <c r="R2" s="17"/>
      <c r="S2" s="17"/>
      <c r="T2" s="17"/>
      <c r="U2" s="16">
        <v>0</v>
      </c>
      <c r="V2" s="17">
        <f>SUM(N2+U2)</f>
        <v>0</v>
      </c>
      <c r="W2" s="17">
        <v>3152.61</v>
      </c>
      <c r="X2" s="16">
        <v>4062.42</v>
      </c>
      <c r="Y2" s="19">
        <f>SUM(W2:X2)</f>
        <v>7215.0300000000007</v>
      </c>
    </row>
    <row r="3" spans="1:25">
      <c r="A3" s="10" t="s">
        <v>19</v>
      </c>
      <c r="B3" s="11" t="s">
        <v>20</v>
      </c>
      <c r="C3" s="11" t="s">
        <v>21</v>
      </c>
      <c r="D3" s="11" t="s">
        <v>18</v>
      </c>
      <c r="E3" s="12">
        <f t="shared" ref="E3" si="1">ROUND(0,2)</f>
        <v>0</v>
      </c>
      <c r="F3" s="13">
        <f>ROUND(64709.4799999999,2)</f>
        <v>64709.48</v>
      </c>
      <c r="G3" s="14"/>
      <c r="H3" s="20">
        <f>ROUND(1960.56,2)</f>
        <v>1960.56</v>
      </c>
      <c r="I3" s="20">
        <f>ROUND(357.36,2)</f>
        <v>357.36</v>
      </c>
      <c r="J3" s="14"/>
      <c r="K3" s="20">
        <f>ROUND(387.64,2)</f>
        <v>387.64</v>
      </c>
      <c r="L3" s="15">
        <v>72359</v>
      </c>
      <c r="M3" s="16">
        <f>SUM(L3+F3)</f>
        <v>137068.48000000001</v>
      </c>
      <c r="N3" s="21">
        <f>SUM(H3:K3)</f>
        <v>2705.56</v>
      </c>
      <c r="O3" s="17"/>
      <c r="P3" s="17"/>
      <c r="Q3" s="18">
        <f>ROUND(2418.77,2)</f>
        <v>2418.77</v>
      </c>
      <c r="R3" s="17"/>
      <c r="S3" s="17"/>
      <c r="T3" s="17"/>
      <c r="U3" s="16">
        <v>1259.82</v>
      </c>
      <c r="V3" s="17">
        <f t="shared" ref="V3:V24" si="2">SUM(N3+U3)</f>
        <v>3965.38</v>
      </c>
      <c r="W3" s="17"/>
      <c r="X3" s="16">
        <v>2732.95</v>
      </c>
      <c r="Y3" s="19">
        <f t="shared" ref="Y3:Y24" si="3">SUM(W3:X3)</f>
        <v>2732.95</v>
      </c>
    </row>
    <row r="4" spans="1:25">
      <c r="A4" s="10" t="s">
        <v>22</v>
      </c>
      <c r="B4" s="11" t="s">
        <v>23</v>
      </c>
      <c r="C4" s="11" t="s">
        <v>24</v>
      </c>
      <c r="D4" s="11" t="s">
        <v>18</v>
      </c>
      <c r="E4" s="12">
        <f t="shared" ref="E4" si="4">ROUND(0,2)</f>
        <v>0</v>
      </c>
      <c r="F4" s="13">
        <f>ROUND(64431.63,2)</f>
        <v>64431.63</v>
      </c>
      <c r="G4" s="14"/>
      <c r="H4" s="20">
        <f>ROUND(16616.62,2)</f>
        <v>16616.62</v>
      </c>
      <c r="I4" s="20">
        <f>ROUND(5390.01999999999,2)</f>
        <v>5390.02</v>
      </c>
      <c r="J4" s="14"/>
      <c r="K4" s="20">
        <f>ROUND(5390.01999999999,2)</f>
        <v>5390.02</v>
      </c>
      <c r="L4" s="15">
        <v>72207.86</v>
      </c>
      <c r="M4" s="16">
        <v>136479.41</v>
      </c>
      <c r="N4" s="21">
        <f t="shared" ref="N4:N23" si="5">SUM(H4:K4)</f>
        <v>27396.66</v>
      </c>
      <c r="O4" s="17"/>
      <c r="P4" s="17"/>
      <c r="Q4" s="18">
        <f>ROUND(2408.59,2)</f>
        <v>2408.59</v>
      </c>
      <c r="R4" s="18">
        <f>ROUND(2024.89999999999,2)</f>
        <v>2024.9</v>
      </c>
      <c r="S4" s="17"/>
      <c r="T4" s="17"/>
      <c r="U4" s="16">
        <v>20957.91</v>
      </c>
      <c r="V4" s="17">
        <f t="shared" si="2"/>
        <v>48354.57</v>
      </c>
      <c r="W4" s="17">
        <f t="shared" ref="W4:W18" si="6">SUM(O4:T4)</f>
        <v>4433.49</v>
      </c>
      <c r="X4" s="16">
        <v>4666.92</v>
      </c>
      <c r="Y4" s="19">
        <v>9260.49</v>
      </c>
    </row>
    <row r="5" spans="1:25">
      <c r="A5" s="10" t="s">
        <v>25</v>
      </c>
      <c r="B5" s="11" t="s">
        <v>26</v>
      </c>
      <c r="C5" s="11" t="s">
        <v>27</v>
      </c>
      <c r="D5" s="11" t="s">
        <v>18</v>
      </c>
      <c r="E5" s="12">
        <f t="shared" ref="E5" si="7">ROUND(0,2)</f>
        <v>0</v>
      </c>
      <c r="F5" s="13">
        <f>ROUND(63755.06,2)</f>
        <v>63755.06</v>
      </c>
      <c r="G5" s="14"/>
      <c r="H5" s="20">
        <f>ROUND(6030.56,2)</f>
        <v>6030.56</v>
      </c>
      <c r="I5" s="20">
        <f>ROUND(1321.38999999999,2)</f>
        <v>1321.39</v>
      </c>
      <c r="J5" s="14"/>
      <c r="K5" s="14"/>
      <c r="L5" s="15">
        <v>71291.78</v>
      </c>
      <c r="M5" s="16">
        <f t="shared" ref="M5:M24" si="8">SUM(L5+F5)</f>
        <v>135046.84</v>
      </c>
      <c r="N5" s="21">
        <f t="shared" si="5"/>
        <v>7351.9500000000007</v>
      </c>
      <c r="O5" s="17"/>
      <c r="P5" s="17"/>
      <c r="Q5" s="18">
        <f>ROUND(2383.04999999999,2)</f>
        <v>2383.0500000000002</v>
      </c>
      <c r="R5" s="17"/>
      <c r="S5" s="18">
        <f>ROUND(500,2)</f>
        <v>500</v>
      </c>
      <c r="T5" s="17"/>
      <c r="U5" s="16">
        <v>5822.9</v>
      </c>
      <c r="V5" s="17">
        <f t="shared" si="2"/>
        <v>13174.85</v>
      </c>
      <c r="W5" s="17">
        <f t="shared" si="6"/>
        <v>2883.05</v>
      </c>
      <c r="X5" s="16">
        <v>2558.36</v>
      </c>
      <c r="Y5" s="19">
        <f t="shared" si="3"/>
        <v>5441.41</v>
      </c>
    </row>
    <row r="6" spans="1:25">
      <c r="A6" s="10" t="s">
        <v>28</v>
      </c>
      <c r="B6" s="11" t="s">
        <v>29</v>
      </c>
      <c r="C6" s="11" t="s">
        <v>30</v>
      </c>
      <c r="D6" s="11" t="s">
        <v>18</v>
      </c>
      <c r="E6" s="12">
        <f t="shared" ref="E6" si="9">ROUND(0,2)</f>
        <v>0</v>
      </c>
      <c r="F6" s="13">
        <f>ROUND(44052.94,2)</f>
        <v>44052.94</v>
      </c>
      <c r="G6" s="14"/>
      <c r="H6" s="20">
        <f>ROUND(1705.92,2)</f>
        <v>1705.92</v>
      </c>
      <c r="I6" s="20">
        <f>ROUND(2322.84,2)</f>
        <v>2322.84</v>
      </c>
      <c r="J6" s="14"/>
      <c r="K6" s="20">
        <f>ROUND(264.32,2)</f>
        <v>264.32</v>
      </c>
      <c r="L6" s="15">
        <v>45708.95</v>
      </c>
      <c r="M6" s="16">
        <f t="shared" si="8"/>
        <v>89761.89</v>
      </c>
      <c r="N6" s="21">
        <f t="shared" si="5"/>
        <v>4293.08</v>
      </c>
      <c r="O6" s="17"/>
      <c r="P6" s="17"/>
      <c r="Q6" s="18">
        <f>ROUND(1649.27,2)</f>
        <v>1649.27</v>
      </c>
      <c r="R6" s="17"/>
      <c r="S6" s="17"/>
      <c r="T6" s="17"/>
      <c r="U6" s="16">
        <v>8791.6</v>
      </c>
      <c r="V6" s="17">
        <f t="shared" si="2"/>
        <v>13084.68</v>
      </c>
      <c r="W6" s="17">
        <f t="shared" si="6"/>
        <v>1649.27</v>
      </c>
      <c r="X6" s="16">
        <v>1597.16</v>
      </c>
      <c r="Y6" s="19">
        <f t="shared" si="3"/>
        <v>3246.4300000000003</v>
      </c>
    </row>
    <row r="7" spans="1:25">
      <c r="A7" s="10" t="s">
        <v>31</v>
      </c>
      <c r="B7" s="11" t="s">
        <v>32</v>
      </c>
      <c r="C7" s="11" t="s">
        <v>33</v>
      </c>
      <c r="D7" s="11" t="s">
        <v>18</v>
      </c>
      <c r="E7" s="12">
        <f t="shared" ref="E7" si="10">ROUND(0,2)</f>
        <v>0</v>
      </c>
      <c r="F7" s="13">
        <f>ROUND(37567.59,2)</f>
        <v>37567.589999999997</v>
      </c>
      <c r="G7" s="14"/>
      <c r="H7" s="20">
        <f>ROUND(7178.14,2)</f>
        <v>7178.14</v>
      </c>
      <c r="I7" s="20">
        <f>ROUND(2302.34,2)</f>
        <v>2302.34</v>
      </c>
      <c r="J7" s="20">
        <f>ROUND(300,2)</f>
        <v>300</v>
      </c>
      <c r="K7" s="20">
        <f>ROUND(206.4,2)</f>
        <v>206.4</v>
      </c>
      <c r="L7" s="15">
        <v>38529.120000000003</v>
      </c>
      <c r="M7" s="16">
        <f t="shared" si="8"/>
        <v>76096.709999999992</v>
      </c>
      <c r="N7" s="21">
        <f t="shared" si="5"/>
        <v>9986.8799999999992</v>
      </c>
      <c r="O7" s="18">
        <f>ROUND(1400,2)</f>
        <v>1400</v>
      </c>
      <c r="P7" s="17"/>
      <c r="Q7" s="18">
        <f>ROUND(1406.15999999999,2)</f>
        <v>1406.16</v>
      </c>
      <c r="R7" s="17"/>
      <c r="S7" s="17"/>
      <c r="T7" s="18">
        <f>ROUND(2400,2)</f>
        <v>2400</v>
      </c>
      <c r="U7" s="16">
        <v>9466.86</v>
      </c>
      <c r="V7" s="17">
        <f t="shared" si="2"/>
        <v>19453.739999999998</v>
      </c>
      <c r="W7" s="17">
        <f t="shared" si="6"/>
        <v>5206.16</v>
      </c>
      <c r="X7" s="16">
        <v>1315.99</v>
      </c>
      <c r="Y7" s="19">
        <f t="shared" si="3"/>
        <v>6522.15</v>
      </c>
    </row>
    <row r="8" spans="1:25">
      <c r="A8" s="10" t="s">
        <v>35</v>
      </c>
      <c r="B8" s="11" t="s">
        <v>36</v>
      </c>
      <c r="C8" s="11" t="s">
        <v>37</v>
      </c>
      <c r="D8" s="11" t="s">
        <v>18</v>
      </c>
      <c r="E8" s="12">
        <f t="shared" ref="E8" si="11">ROUND(0,2)</f>
        <v>0</v>
      </c>
      <c r="F8" s="13">
        <f>ROUND(37567.59,2)</f>
        <v>37567.589999999997</v>
      </c>
      <c r="G8" s="14"/>
      <c r="H8" s="20">
        <f>ROUND(2195.75999999999,2)</f>
        <v>2195.7600000000002</v>
      </c>
      <c r="I8" s="20">
        <f>ROUND(6080.66,2)</f>
        <v>6080.66</v>
      </c>
      <c r="J8" s="14"/>
      <c r="K8" s="20">
        <f>ROUND(480.16,2)</f>
        <v>480.16</v>
      </c>
      <c r="L8" s="15">
        <v>38529.120000000003</v>
      </c>
      <c r="M8" s="16">
        <f t="shared" si="8"/>
        <v>76096.709999999992</v>
      </c>
      <c r="N8" s="21">
        <f t="shared" si="5"/>
        <v>8756.58</v>
      </c>
      <c r="O8" s="17"/>
      <c r="P8" s="17"/>
      <c r="Q8" s="18">
        <f>ROUND(1406.15999999999,2)</f>
        <v>1406.16</v>
      </c>
      <c r="R8" s="17"/>
      <c r="S8" s="17"/>
      <c r="T8" s="17"/>
      <c r="U8" s="16">
        <v>2330.6799999999998</v>
      </c>
      <c r="V8" s="17">
        <f t="shared" si="2"/>
        <v>11087.26</v>
      </c>
      <c r="W8" s="17">
        <f t="shared" si="6"/>
        <v>1406.16</v>
      </c>
      <c r="X8" s="16">
        <v>3388.95</v>
      </c>
      <c r="Y8" s="19">
        <f t="shared" si="3"/>
        <v>4795.1099999999997</v>
      </c>
    </row>
    <row r="9" spans="1:25" ht="26.25">
      <c r="A9" s="10" t="s">
        <v>38</v>
      </c>
      <c r="B9" s="11" t="s">
        <v>39</v>
      </c>
      <c r="C9" s="11" t="s">
        <v>40</v>
      </c>
      <c r="D9" s="11" t="s">
        <v>18</v>
      </c>
      <c r="E9" s="12">
        <f t="shared" ref="E9" si="12">ROUND(0,2)</f>
        <v>0</v>
      </c>
      <c r="F9" s="13">
        <f>ROUND(59655.54,2)</f>
        <v>59655.54</v>
      </c>
      <c r="G9" s="14"/>
      <c r="H9" s="20">
        <f>ROUND(12040.06,2)</f>
        <v>12040.06</v>
      </c>
      <c r="I9" s="20">
        <f>ROUND(3846.18,2)</f>
        <v>3846.18</v>
      </c>
      <c r="J9" s="14"/>
      <c r="K9" s="20">
        <f>ROUND(357.36,2)</f>
        <v>357.36</v>
      </c>
      <c r="L9" s="15">
        <v>66707.199999999997</v>
      </c>
      <c r="M9" s="16">
        <f t="shared" si="8"/>
        <v>126362.73999999999</v>
      </c>
      <c r="N9" s="21">
        <f t="shared" si="5"/>
        <v>16243.6</v>
      </c>
      <c r="O9" s="18">
        <f>ROUND(1400,2)</f>
        <v>1400</v>
      </c>
      <c r="P9" s="17"/>
      <c r="Q9" s="18">
        <f>ROUND(2229.89,2)</f>
        <v>2229.89</v>
      </c>
      <c r="R9" s="17"/>
      <c r="S9" s="18">
        <f>ROUND(500,2)</f>
        <v>500</v>
      </c>
      <c r="T9" s="17"/>
      <c r="U9" s="16">
        <v>7089.84</v>
      </c>
      <c r="V9" s="17">
        <f t="shared" si="2"/>
        <v>23333.440000000002</v>
      </c>
      <c r="W9" s="17">
        <f t="shared" si="6"/>
        <v>4129.8899999999994</v>
      </c>
      <c r="X9" s="16">
        <v>2392.2399999999998</v>
      </c>
      <c r="Y9" s="19">
        <f t="shared" si="3"/>
        <v>6522.1299999999992</v>
      </c>
    </row>
    <row r="10" spans="1:25">
      <c r="A10" s="10" t="s">
        <v>41</v>
      </c>
      <c r="B10" s="11" t="s">
        <v>42</v>
      </c>
      <c r="C10" s="11" t="s">
        <v>43</v>
      </c>
      <c r="D10" s="11" t="s">
        <v>18</v>
      </c>
      <c r="E10" s="12">
        <f t="shared" ref="E10" si="13">ROUND(0,2)</f>
        <v>0</v>
      </c>
      <c r="F10" s="13">
        <f>ROUND(44052.94,2)</f>
        <v>44052.94</v>
      </c>
      <c r="G10" s="14"/>
      <c r="H10" s="20">
        <f>ROUND(6738.92,2)</f>
        <v>6738.92</v>
      </c>
      <c r="I10" s="20">
        <f>ROUND(2880.35999999999,2)</f>
        <v>2880.36</v>
      </c>
      <c r="J10" s="14"/>
      <c r="K10" s="14"/>
      <c r="L10" s="15">
        <v>45708.95</v>
      </c>
      <c r="M10" s="16">
        <f t="shared" si="8"/>
        <v>89761.89</v>
      </c>
      <c r="N10" s="21">
        <f t="shared" si="5"/>
        <v>9619.2800000000007</v>
      </c>
      <c r="O10" s="17"/>
      <c r="P10" s="17"/>
      <c r="Q10" s="18">
        <f>ROUND(1649.27,2)</f>
        <v>1649.27</v>
      </c>
      <c r="R10" s="17"/>
      <c r="S10" s="17"/>
      <c r="T10" s="17"/>
      <c r="U10" s="16">
        <v>7093.05</v>
      </c>
      <c r="V10" s="17">
        <f t="shared" si="2"/>
        <v>16712.330000000002</v>
      </c>
      <c r="W10" s="17">
        <f t="shared" si="6"/>
        <v>1649.27</v>
      </c>
      <c r="X10" s="16">
        <v>1597.16</v>
      </c>
      <c r="Y10" s="19">
        <f t="shared" si="3"/>
        <v>3246.4300000000003</v>
      </c>
    </row>
    <row r="11" spans="1:25">
      <c r="A11" s="10" t="s">
        <v>44</v>
      </c>
      <c r="B11" s="11" t="s">
        <v>45</v>
      </c>
      <c r="C11" s="11" t="s">
        <v>46</v>
      </c>
      <c r="D11" s="11" t="s">
        <v>18</v>
      </c>
      <c r="E11" s="12">
        <f t="shared" ref="E11" si="14">ROUND(0,2)</f>
        <v>0</v>
      </c>
      <c r="F11" s="13">
        <f>ROUND(59655.54,2)</f>
        <v>59655.54</v>
      </c>
      <c r="G11" s="14"/>
      <c r="H11" s="20">
        <f>ROUND(11722.9,2)</f>
        <v>11722.9</v>
      </c>
      <c r="I11" s="20">
        <f>ROUND(4876.28,2)</f>
        <v>4876.28</v>
      </c>
      <c r="J11" s="14"/>
      <c r="K11" s="14"/>
      <c r="L11" s="15">
        <v>66707.199999999997</v>
      </c>
      <c r="M11" s="16">
        <f t="shared" si="8"/>
        <v>126362.73999999999</v>
      </c>
      <c r="N11" s="21">
        <f t="shared" si="5"/>
        <v>16599.18</v>
      </c>
      <c r="O11" s="18">
        <f>ROUND(1400,2)</f>
        <v>1400</v>
      </c>
      <c r="P11" s="18">
        <f>ROUND(1798.2,2)</f>
        <v>1798.2</v>
      </c>
      <c r="Q11" s="18">
        <f>ROUND(2229.89,2)</f>
        <v>2229.89</v>
      </c>
      <c r="R11" s="17"/>
      <c r="S11" s="17"/>
      <c r="T11" s="17"/>
      <c r="U11" s="16">
        <v>9087.2999999999993</v>
      </c>
      <c r="V11" s="17">
        <f t="shared" si="2"/>
        <v>25686.48</v>
      </c>
      <c r="W11" s="17">
        <f t="shared" si="6"/>
        <v>5428.09</v>
      </c>
      <c r="X11" s="16">
        <v>4190.4399999999996</v>
      </c>
      <c r="Y11" s="19">
        <f t="shared" si="3"/>
        <v>9618.5299999999988</v>
      </c>
    </row>
    <row r="12" spans="1:25">
      <c r="A12" s="10" t="s">
        <v>47</v>
      </c>
      <c r="B12" s="11" t="s">
        <v>48</v>
      </c>
      <c r="C12" s="11" t="s">
        <v>49</v>
      </c>
      <c r="D12" s="11" t="s">
        <v>18</v>
      </c>
      <c r="E12" s="12">
        <f t="shared" ref="E12" si="15">ROUND(0,2)</f>
        <v>0</v>
      </c>
      <c r="F12" s="13">
        <f>ROUND(67608.48,2)</f>
        <v>67608.479999999996</v>
      </c>
      <c r="G12" s="14"/>
      <c r="H12" s="20">
        <f>ROUND(16298.44,2)</f>
        <v>16298.44</v>
      </c>
      <c r="I12" s="20">
        <f>ROUND(2070.93,2)</f>
        <v>2070.9299999999998</v>
      </c>
      <c r="J12" s="14"/>
      <c r="K12" s="14"/>
      <c r="L12" s="15">
        <v>75600.56</v>
      </c>
      <c r="M12" s="16">
        <f t="shared" si="8"/>
        <v>143209.03999999998</v>
      </c>
      <c r="N12" s="21">
        <f t="shared" si="5"/>
        <v>18369.37</v>
      </c>
      <c r="O12" s="17"/>
      <c r="P12" s="17"/>
      <c r="Q12" s="18">
        <f>ROUND(2527.22,2)</f>
        <v>2527.2199999999998</v>
      </c>
      <c r="R12" s="17"/>
      <c r="S12" s="17"/>
      <c r="T12" s="17"/>
      <c r="U12" s="16">
        <v>13077.79</v>
      </c>
      <c r="V12" s="17">
        <f t="shared" si="2"/>
        <v>31447.16</v>
      </c>
      <c r="W12" s="17">
        <f t="shared" si="6"/>
        <v>2527.2199999999998</v>
      </c>
      <c r="X12" s="16">
        <v>3085.36</v>
      </c>
      <c r="Y12" s="19">
        <f t="shared" si="3"/>
        <v>5612.58</v>
      </c>
    </row>
    <row r="13" spans="1:25">
      <c r="A13" s="10" t="s">
        <v>50</v>
      </c>
      <c r="B13" s="11" t="s">
        <v>51</v>
      </c>
      <c r="C13" s="11" t="s">
        <v>52</v>
      </c>
      <c r="D13" s="11" t="s">
        <v>18</v>
      </c>
      <c r="E13" s="12">
        <f t="shared" ref="E13" si="16">ROUND(0,2)</f>
        <v>0</v>
      </c>
      <c r="F13" s="13">
        <f>ROUND(64431.63,2)</f>
        <v>64431.63</v>
      </c>
      <c r="G13" s="14"/>
      <c r="H13" s="20">
        <f>ROUND(18549.29,2)</f>
        <v>18549.29</v>
      </c>
      <c r="I13" s="20">
        <f>ROUND(4025.74999999999,2)</f>
        <v>4025.75</v>
      </c>
      <c r="J13" s="14"/>
      <c r="K13" s="20">
        <f>ROUND(385.96,2)</f>
        <v>385.96</v>
      </c>
      <c r="L13" s="15">
        <v>72047.78</v>
      </c>
      <c r="M13" s="16">
        <f t="shared" si="8"/>
        <v>136479.41</v>
      </c>
      <c r="N13" s="21">
        <f t="shared" si="5"/>
        <v>22961</v>
      </c>
      <c r="O13" s="17">
        <f>ROUND(1400,2)</f>
        <v>1400</v>
      </c>
      <c r="P13" s="17"/>
      <c r="Q13" s="18">
        <f>ROUND(2408.59,2)</f>
        <v>2408.59</v>
      </c>
      <c r="R13" s="17"/>
      <c r="S13" s="17"/>
      <c r="T13" s="17"/>
      <c r="U13" s="15">
        <v>12632.49</v>
      </c>
      <c r="V13" s="17">
        <f t="shared" si="2"/>
        <v>35593.49</v>
      </c>
      <c r="W13" s="17">
        <f t="shared" si="6"/>
        <v>3808.59</v>
      </c>
      <c r="X13" s="16">
        <v>2720.98</v>
      </c>
      <c r="Y13" s="19">
        <f t="shared" si="3"/>
        <v>6529.57</v>
      </c>
    </row>
    <row r="14" spans="1:25">
      <c r="A14" s="10" t="s">
        <v>53</v>
      </c>
      <c r="B14" s="11" t="s">
        <v>54</v>
      </c>
      <c r="C14" s="11" t="s">
        <v>55</v>
      </c>
      <c r="D14" s="11" t="s">
        <v>18</v>
      </c>
      <c r="E14" s="12">
        <f t="shared" ref="E14" si="17">ROUND(0,2)</f>
        <v>0</v>
      </c>
      <c r="F14" s="13">
        <f>ROUND(37567.59,2)</f>
        <v>37567.589999999997</v>
      </c>
      <c r="G14" s="14"/>
      <c r="H14" s="20">
        <f>ROUND(8732.6,2)</f>
        <v>8732.6</v>
      </c>
      <c r="I14" s="20">
        <f>ROUND(6161.95,2)</f>
        <v>6161.95</v>
      </c>
      <c r="J14" s="20">
        <f>ROUND(450,2)</f>
        <v>450</v>
      </c>
      <c r="K14" s="20">
        <f>ROUND(206.4,2)</f>
        <v>206.4</v>
      </c>
      <c r="L14" s="15">
        <v>38529.120000000003</v>
      </c>
      <c r="M14" s="16">
        <f t="shared" si="8"/>
        <v>76096.709999999992</v>
      </c>
      <c r="N14" s="21">
        <f t="shared" si="5"/>
        <v>15550.949999999999</v>
      </c>
      <c r="O14" s="17"/>
      <c r="P14" s="17"/>
      <c r="Q14" s="18">
        <f>ROUND(1406.15999999999,2)</f>
        <v>1406.16</v>
      </c>
      <c r="R14" s="17"/>
      <c r="S14" s="17"/>
      <c r="T14" s="17"/>
      <c r="U14" s="16">
        <v>3499.62</v>
      </c>
      <c r="V14" s="17">
        <f t="shared" si="2"/>
        <v>19050.57</v>
      </c>
      <c r="W14" s="17">
        <f t="shared" si="6"/>
        <v>1406.16</v>
      </c>
      <c r="X14" s="16">
        <v>1315.99</v>
      </c>
      <c r="Y14" s="19">
        <f t="shared" si="3"/>
        <v>2722.15</v>
      </c>
    </row>
    <row r="15" spans="1:25">
      <c r="A15" s="10" t="s">
        <v>56</v>
      </c>
      <c r="B15" s="11" t="s">
        <v>57</v>
      </c>
      <c r="C15" s="11" t="s">
        <v>58</v>
      </c>
      <c r="D15" s="11" t="s">
        <v>18</v>
      </c>
      <c r="E15" s="12">
        <f t="shared" ref="E15" si="18">ROUND(0,2)</f>
        <v>0</v>
      </c>
      <c r="F15" s="13">
        <f>ROUND(37567.59,2)</f>
        <v>37567.589999999997</v>
      </c>
      <c r="G15" s="14"/>
      <c r="H15" s="20">
        <f>ROUND(744.96,2)</f>
        <v>744.96</v>
      </c>
      <c r="I15" s="20">
        <f>ROUND(6506.76999999999,2)</f>
        <v>6506.77</v>
      </c>
      <c r="J15" s="14"/>
      <c r="K15" s="14"/>
      <c r="L15" s="15">
        <v>38529.120000000003</v>
      </c>
      <c r="M15" s="16">
        <f t="shared" si="8"/>
        <v>76096.709999999992</v>
      </c>
      <c r="N15" s="21">
        <f t="shared" si="5"/>
        <v>7251.7300000000005</v>
      </c>
      <c r="O15" s="17">
        <f>ROUND(1400,2)</f>
        <v>1400</v>
      </c>
      <c r="P15" s="17"/>
      <c r="Q15" s="18">
        <f>ROUND(1406.15999999999,2)</f>
        <v>1406.16</v>
      </c>
      <c r="R15" s="17"/>
      <c r="S15" s="17"/>
      <c r="T15" s="17"/>
      <c r="U15" s="16">
        <v>4352.6099999999997</v>
      </c>
      <c r="V15" s="17">
        <f t="shared" si="2"/>
        <v>11604.34</v>
      </c>
      <c r="W15" s="17">
        <f t="shared" si="6"/>
        <v>2806.16</v>
      </c>
      <c r="X15" s="16">
        <v>1315.99</v>
      </c>
      <c r="Y15" s="19">
        <f t="shared" si="3"/>
        <v>4122.1499999999996</v>
      </c>
    </row>
    <row r="16" spans="1:25">
      <c r="A16" s="10" t="s">
        <v>59</v>
      </c>
      <c r="B16" s="11" t="s">
        <v>60</v>
      </c>
      <c r="C16" s="11" t="s">
        <v>61</v>
      </c>
      <c r="D16" s="11" t="s">
        <v>18</v>
      </c>
      <c r="E16" s="12">
        <f t="shared" ref="E16" si="19">ROUND(0,2)</f>
        <v>0</v>
      </c>
      <c r="F16" s="13">
        <f>ROUND(59655.54,2)</f>
        <v>59655.54</v>
      </c>
      <c r="G16" s="14"/>
      <c r="H16" s="20">
        <f>ROUND(11365.54,2)</f>
        <v>11365.54</v>
      </c>
      <c r="I16" s="20">
        <f>ROUND(2339.85,2)</f>
        <v>2339.85</v>
      </c>
      <c r="J16" s="14"/>
      <c r="K16" s="14"/>
      <c r="L16" s="15">
        <v>66707.199999999997</v>
      </c>
      <c r="M16" s="16">
        <f t="shared" si="8"/>
        <v>126362.73999999999</v>
      </c>
      <c r="N16" s="21">
        <f t="shared" si="5"/>
        <v>13705.390000000001</v>
      </c>
      <c r="O16" s="17"/>
      <c r="P16" s="17"/>
      <c r="Q16" s="18">
        <f>ROUND(2229.89,2)</f>
        <v>2229.89</v>
      </c>
      <c r="R16" s="17"/>
      <c r="S16" s="18">
        <f>ROUND(500,2)</f>
        <v>500</v>
      </c>
      <c r="T16" s="17"/>
      <c r="U16" s="16">
        <v>9470.0400000000009</v>
      </c>
      <c r="V16" s="17">
        <f t="shared" si="2"/>
        <v>23175.43</v>
      </c>
      <c r="W16" s="17">
        <f t="shared" si="6"/>
        <v>2729.89</v>
      </c>
      <c r="X16" s="16">
        <v>3216.28</v>
      </c>
      <c r="Y16" s="19">
        <f t="shared" si="3"/>
        <v>5946.17</v>
      </c>
    </row>
    <row r="17" spans="1:25">
      <c r="A17" s="10" t="s">
        <v>62</v>
      </c>
      <c r="B17" s="11" t="s">
        <v>63</v>
      </c>
      <c r="C17" s="11" t="s">
        <v>64</v>
      </c>
      <c r="D17" s="11" t="s">
        <v>34</v>
      </c>
      <c r="E17" s="12">
        <f t="shared" ref="E17" si="20">ROUND(0,2)</f>
        <v>0</v>
      </c>
      <c r="F17" s="13">
        <f>ROUND(67608.48,2)</f>
        <v>67608.479999999996</v>
      </c>
      <c r="G17" s="14"/>
      <c r="H17" s="20">
        <f>ROUND(13876.57,2)</f>
        <v>13876.57</v>
      </c>
      <c r="I17" s="20">
        <f>ROUND(2944.72,2)</f>
        <v>2944.72</v>
      </c>
      <c r="J17" s="14"/>
      <c r="K17" s="20">
        <f>ROUND(2204.27999999999,2)</f>
        <v>2204.2800000000002</v>
      </c>
      <c r="L17" s="15">
        <v>75600.56</v>
      </c>
      <c r="M17" s="16">
        <f t="shared" si="8"/>
        <v>143209.03999999998</v>
      </c>
      <c r="N17" s="21">
        <f t="shared" si="5"/>
        <v>19025.57</v>
      </c>
      <c r="O17" s="17"/>
      <c r="P17" s="17"/>
      <c r="Q17" s="18">
        <f>ROUND(2527.22,2)</f>
        <v>2527.2199999999998</v>
      </c>
      <c r="R17" s="17"/>
      <c r="S17" s="17"/>
      <c r="T17" s="17"/>
      <c r="U17" s="16">
        <v>15276.89</v>
      </c>
      <c r="V17" s="17">
        <f t="shared" si="2"/>
        <v>34302.46</v>
      </c>
      <c r="W17" s="17">
        <f t="shared" si="6"/>
        <v>2527.2199999999998</v>
      </c>
      <c r="X17" s="16">
        <v>2714.92</v>
      </c>
      <c r="Y17" s="19">
        <f t="shared" si="3"/>
        <v>5242.1399999999994</v>
      </c>
    </row>
    <row r="18" spans="1:25">
      <c r="A18" s="10" t="s">
        <v>65</v>
      </c>
      <c r="B18" s="11" t="s">
        <v>66</v>
      </c>
      <c r="C18" s="11" t="s">
        <v>67</v>
      </c>
      <c r="D18" s="11" t="s">
        <v>18</v>
      </c>
      <c r="E18" s="12">
        <f t="shared" ref="E18" si="21">ROUND(0,2)</f>
        <v>0</v>
      </c>
      <c r="F18" s="13">
        <f>ROUND(64431.63,2)</f>
        <v>64431.63</v>
      </c>
      <c r="G18" s="14"/>
      <c r="H18" s="20">
        <f>ROUND(4922.95,2)</f>
        <v>4922.95</v>
      </c>
      <c r="I18" s="20">
        <f>ROUND(3797.04,2)</f>
        <v>3797.04</v>
      </c>
      <c r="J18" s="14"/>
      <c r="K18" s="14"/>
      <c r="L18" s="15">
        <v>72047.78</v>
      </c>
      <c r="M18" s="16">
        <f t="shared" si="8"/>
        <v>136479.41</v>
      </c>
      <c r="N18" s="21">
        <f t="shared" si="5"/>
        <v>8719.99</v>
      </c>
      <c r="O18" s="17"/>
      <c r="P18" s="17"/>
      <c r="Q18" s="18">
        <f>ROUND(2408.59,2)</f>
        <v>2408.59</v>
      </c>
      <c r="R18" s="17"/>
      <c r="S18" s="17"/>
      <c r="T18" s="17"/>
      <c r="U18" s="16">
        <v>10972.57</v>
      </c>
      <c r="V18" s="17">
        <f t="shared" si="2"/>
        <v>19692.559999999998</v>
      </c>
      <c r="W18" s="17">
        <f t="shared" si="6"/>
        <v>2408.59</v>
      </c>
      <c r="X18" s="16">
        <v>2585.88</v>
      </c>
      <c r="Y18" s="19">
        <f t="shared" si="3"/>
        <v>4994.47</v>
      </c>
    </row>
    <row r="19" spans="1:25">
      <c r="A19" s="10" t="s">
        <v>68</v>
      </c>
      <c r="B19" s="11" t="s">
        <v>69</v>
      </c>
      <c r="C19" s="11" t="s">
        <v>70</v>
      </c>
      <c r="D19" s="11" t="s">
        <v>18</v>
      </c>
      <c r="E19" s="12">
        <f t="shared" ref="E19" si="22">ROUND(0,2)</f>
        <v>0</v>
      </c>
      <c r="F19" s="13">
        <f>ROUND(59655.54,2)</f>
        <v>59655.54</v>
      </c>
      <c r="G19" s="14"/>
      <c r="H19" s="20">
        <f>ROUND(3055.62,2)</f>
        <v>3055.62</v>
      </c>
      <c r="I19" s="14"/>
      <c r="J19" s="14"/>
      <c r="K19" s="20">
        <f>ROUND(364.52,2)</f>
        <v>364.52</v>
      </c>
      <c r="L19" s="15">
        <v>66707.199999999997</v>
      </c>
      <c r="M19" s="16">
        <f t="shared" si="8"/>
        <v>126362.73999999999</v>
      </c>
      <c r="N19" s="21">
        <f t="shared" si="5"/>
        <v>3420.14</v>
      </c>
      <c r="O19" s="17"/>
      <c r="P19" s="17"/>
      <c r="Q19" s="18">
        <f>ROUND(2229.89,2)</f>
        <v>2229.89</v>
      </c>
      <c r="R19" s="17"/>
      <c r="S19" s="17"/>
      <c r="T19" s="17"/>
      <c r="U19" s="16">
        <v>3930.96</v>
      </c>
      <c r="V19" s="17">
        <f t="shared" si="2"/>
        <v>7351.1</v>
      </c>
      <c r="W19" s="17">
        <v>3363.89</v>
      </c>
      <c r="X19" s="16">
        <v>3486.2</v>
      </c>
      <c r="Y19" s="19">
        <f t="shared" si="3"/>
        <v>6850.09</v>
      </c>
    </row>
    <row r="20" spans="1:25">
      <c r="A20" s="10" t="s">
        <v>71</v>
      </c>
      <c r="B20" s="11" t="s">
        <v>72</v>
      </c>
      <c r="C20" s="11" t="s">
        <v>73</v>
      </c>
      <c r="D20" s="11" t="s">
        <v>18</v>
      </c>
      <c r="E20" s="12">
        <f t="shared" ref="E20" si="23">ROUND(0,2)</f>
        <v>0</v>
      </c>
      <c r="F20" s="13">
        <f>ROUND(59655.54,2)</f>
        <v>59655.54</v>
      </c>
      <c r="G20" s="14"/>
      <c r="H20" s="20">
        <f>ROUND(15060.86,2)</f>
        <v>15060.86</v>
      </c>
      <c r="I20" s="20">
        <f>ROUND(5980.57,2)</f>
        <v>5980.57</v>
      </c>
      <c r="J20" s="14"/>
      <c r="K20" s="14"/>
      <c r="L20" s="15">
        <v>66707.199999999997</v>
      </c>
      <c r="M20" s="16">
        <f t="shared" si="8"/>
        <v>126362.73999999999</v>
      </c>
      <c r="N20" s="21">
        <f t="shared" si="5"/>
        <v>21041.43</v>
      </c>
      <c r="O20" s="17"/>
      <c r="P20" s="17"/>
      <c r="Q20" s="18">
        <f>ROUND(2229.89,2)</f>
        <v>2229.89</v>
      </c>
      <c r="R20" s="17"/>
      <c r="S20" s="18">
        <f>ROUND(500,2)</f>
        <v>500</v>
      </c>
      <c r="T20" s="17"/>
      <c r="U20" s="16">
        <v>12775.62</v>
      </c>
      <c r="V20" s="17">
        <f t="shared" si="2"/>
        <v>33817.050000000003</v>
      </c>
      <c r="W20" s="17">
        <f>SUM(O20:T20)</f>
        <v>2729.89</v>
      </c>
      <c r="X20" s="16">
        <v>2392.2399999999998</v>
      </c>
      <c r="Y20" s="19">
        <f t="shared" si="3"/>
        <v>5122.1299999999992</v>
      </c>
    </row>
    <row r="21" spans="1:25">
      <c r="A21" s="10" t="s">
        <v>74</v>
      </c>
      <c r="B21" s="11" t="s">
        <v>75</v>
      </c>
      <c r="C21" s="11" t="s">
        <v>76</v>
      </c>
      <c r="D21" s="11" t="s">
        <v>18</v>
      </c>
      <c r="E21" s="12">
        <f t="shared" ref="E21" si="24">ROUND(0,2)</f>
        <v>0</v>
      </c>
      <c r="F21" s="13">
        <f>ROUND(44083.82,2)</f>
        <v>44083.82</v>
      </c>
      <c r="G21" s="14"/>
      <c r="H21" s="20">
        <f>ROUND(11855.14,2)</f>
        <v>11855.14</v>
      </c>
      <c r="I21" s="20">
        <f>ROUND(5586.59999999999,2)</f>
        <v>5586.6</v>
      </c>
      <c r="J21" s="20">
        <f>ROUND(1325,2)</f>
        <v>1325</v>
      </c>
      <c r="K21" s="14"/>
      <c r="L21" s="15">
        <v>47406.55</v>
      </c>
      <c r="M21" s="16">
        <f t="shared" si="8"/>
        <v>91490.37</v>
      </c>
      <c r="N21" s="21">
        <f t="shared" si="5"/>
        <v>18766.739999999998</v>
      </c>
      <c r="O21" s="17"/>
      <c r="P21" s="17"/>
      <c r="Q21" s="18">
        <f>ROUND(1649.27,2)</f>
        <v>1649.27</v>
      </c>
      <c r="R21" s="17"/>
      <c r="S21" s="17"/>
      <c r="T21" s="17"/>
      <c r="U21" s="16">
        <v>8367.0300000000007</v>
      </c>
      <c r="V21" s="17">
        <f t="shared" si="2"/>
        <v>27133.769999999997</v>
      </c>
      <c r="W21" s="17">
        <f>SUM(O21:T21)</f>
        <v>1649.27</v>
      </c>
      <c r="X21" s="16">
        <v>1678.25</v>
      </c>
      <c r="Y21" s="19">
        <f t="shared" si="3"/>
        <v>3327.52</v>
      </c>
    </row>
    <row r="22" spans="1:25">
      <c r="A22" s="10" t="s">
        <v>77</v>
      </c>
      <c r="B22" s="11" t="s">
        <v>78</v>
      </c>
      <c r="C22" s="11" t="s">
        <v>79</v>
      </c>
      <c r="D22" s="11" t="s">
        <v>18</v>
      </c>
      <c r="E22" s="12">
        <f t="shared" ref="E22" si="25">ROUND(0,2)</f>
        <v>0</v>
      </c>
      <c r="F22" s="13">
        <f>ROUND(64431.63,2)</f>
        <v>64431.63</v>
      </c>
      <c r="G22" s="14"/>
      <c r="H22" s="20">
        <f>ROUND(16850.11,2)</f>
        <v>16850.11</v>
      </c>
      <c r="I22" s="20">
        <f>ROUND(2899.16,2)</f>
        <v>2899.16</v>
      </c>
      <c r="J22" s="14"/>
      <c r="K22" s="20">
        <f>ROUND(385.96,2)</f>
        <v>385.96</v>
      </c>
      <c r="L22" s="15">
        <v>72047.78</v>
      </c>
      <c r="M22" s="16">
        <f t="shared" si="8"/>
        <v>136479.41</v>
      </c>
      <c r="N22" s="21">
        <f t="shared" si="5"/>
        <v>20135.23</v>
      </c>
      <c r="O22" s="17"/>
      <c r="P22" s="17"/>
      <c r="Q22" s="18">
        <f>ROUND(2408.59,2)</f>
        <v>2408.59</v>
      </c>
      <c r="R22" s="17"/>
      <c r="S22" s="17"/>
      <c r="T22" s="17"/>
      <c r="U22" s="16">
        <v>13006.18</v>
      </c>
      <c r="V22" s="17">
        <f t="shared" si="2"/>
        <v>33141.410000000003</v>
      </c>
      <c r="W22" s="17">
        <f>SUM(O22:T22)</f>
        <v>2408.59</v>
      </c>
      <c r="X22" s="16">
        <v>2558.86</v>
      </c>
      <c r="Y22" s="19">
        <f t="shared" si="3"/>
        <v>4967.4500000000007</v>
      </c>
    </row>
    <row r="23" spans="1:25">
      <c r="A23" s="10" t="s">
        <v>80</v>
      </c>
      <c r="B23" s="11" t="s">
        <v>81</v>
      </c>
      <c r="C23" s="11" t="s">
        <v>82</v>
      </c>
      <c r="D23" s="11" t="s">
        <v>18</v>
      </c>
      <c r="E23" s="12">
        <f t="shared" ref="E23" si="26">ROUND(0,2)</f>
        <v>0</v>
      </c>
      <c r="F23" s="13">
        <f>ROUND(64431.63,2)</f>
        <v>64431.63</v>
      </c>
      <c r="G23" s="14"/>
      <c r="H23" s="20">
        <f>ROUND(21665.93,2)</f>
        <v>21665.93</v>
      </c>
      <c r="I23" s="20">
        <f>ROUND(3415.51,2)</f>
        <v>3415.51</v>
      </c>
      <c r="J23" s="20">
        <f>ROUND(2925,2)</f>
        <v>2925</v>
      </c>
      <c r="K23" s="20">
        <f>ROUND(1310.34,2)</f>
        <v>1310.3399999999999</v>
      </c>
      <c r="L23" s="15">
        <v>72047.78</v>
      </c>
      <c r="M23" s="16">
        <f t="shared" si="8"/>
        <v>136479.41</v>
      </c>
      <c r="N23" s="21">
        <f t="shared" si="5"/>
        <v>29316.780000000002</v>
      </c>
      <c r="O23" s="18">
        <f>ROUND(1400,2)</f>
        <v>1400</v>
      </c>
      <c r="P23" s="18">
        <f>ROUND(2500,2)</f>
        <v>2500</v>
      </c>
      <c r="Q23" s="18">
        <f>ROUND(2408.59,2)</f>
        <v>2408.59</v>
      </c>
      <c r="R23" s="17"/>
      <c r="S23" s="17"/>
      <c r="T23" s="17"/>
      <c r="U23" s="16">
        <v>17142.78</v>
      </c>
      <c r="V23" s="17">
        <f t="shared" si="2"/>
        <v>46459.56</v>
      </c>
      <c r="W23" s="17">
        <f>SUM(O23:T23)</f>
        <v>6308.59</v>
      </c>
      <c r="X23" s="16">
        <v>5437</v>
      </c>
      <c r="Y23" s="19">
        <f t="shared" si="3"/>
        <v>11745.59</v>
      </c>
    </row>
    <row r="24" spans="1:25">
      <c r="A24" s="10" t="s">
        <v>83</v>
      </c>
      <c r="B24" s="11" t="s">
        <v>84</v>
      </c>
      <c r="C24" s="11" t="s">
        <v>85</v>
      </c>
      <c r="D24" s="11" t="s">
        <v>18</v>
      </c>
      <c r="E24" s="12">
        <f t="shared" ref="E24" si="27">ROUND(0,2)</f>
        <v>0</v>
      </c>
      <c r="F24" s="13">
        <f>ROUND(59655.54,2)</f>
        <v>59655.54</v>
      </c>
      <c r="G24" s="14"/>
      <c r="H24" s="20">
        <f>ROUND(13666.41,2)</f>
        <v>13666.41</v>
      </c>
      <c r="I24" s="20">
        <f>ROUND(364.52,2)</f>
        <v>364.52</v>
      </c>
      <c r="J24" s="14"/>
      <c r="K24" s="14"/>
      <c r="L24" s="15">
        <v>66707.199999999997</v>
      </c>
      <c r="M24" s="16">
        <f t="shared" si="8"/>
        <v>126362.73999999999</v>
      </c>
      <c r="N24" s="21">
        <f>SUM(H24:K24)</f>
        <v>14030.93</v>
      </c>
      <c r="O24" s="18">
        <f>ROUND(1400,2)</f>
        <v>1400</v>
      </c>
      <c r="P24" s="17"/>
      <c r="Q24" s="18">
        <f>ROUND(2229.89,2)</f>
        <v>2229.89</v>
      </c>
      <c r="R24" s="17"/>
      <c r="S24" s="17">
        <f>ROUND(500,2)</f>
        <v>500</v>
      </c>
      <c r="T24" s="17"/>
      <c r="U24" s="16">
        <v>15723.84</v>
      </c>
      <c r="V24" s="17">
        <f t="shared" si="2"/>
        <v>29754.77</v>
      </c>
      <c r="W24" s="17">
        <f>SUM(O24:T24)</f>
        <v>4129.8899999999994</v>
      </c>
      <c r="X24" s="16">
        <v>2516.2800000000002</v>
      </c>
      <c r="Y24" s="19">
        <f t="shared" si="3"/>
        <v>6646.17</v>
      </c>
    </row>
    <row r="25" spans="1:25">
      <c r="K25" s="4"/>
      <c r="L25" s="7"/>
      <c r="Y25"/>
    </row>
    <row r="26" spans="1:25">
      <c r="K26" s="4"/>
      <c r="L26" s="7"/>
      <c r="Y26"/>
    </row>
    <row r="27" spans="1:25">
      <c r="L27" s="6"/>
      <c r="Y27"/>
    </row>
    <row r="28" spans="1:25">
      <c r="L28" s="6"/>
      <c r="Y28"/>
    </row>
    <row r="29" spans="1:25">
      <c r="L29" s="6"/>
      <c r="Y29"/>
    </row>
    <row r="30" spans="1:25">
      <c r="L30" s="6"/>
      <c r="Y30"/>
    </row>
    <row r="31" spans="1:25">
      <c r="L31" s="6"/>
      <c r="Y31"/>
    </row>
    <row r="32" spans="1:25">
      <c r="L32" s="6"/>
      <c r="Y32"/>
    </row>
    <row r="33" spans="12:25">
      <c r="L33" s="6"/>
      <c r="Y33"/>
    </row>
    <row r="34" spans="12:25">
      <c r="L34" s="6"/>
      <c r="Y34"/>
    </row>
    <row r="35" spans="12:25">
      <c r="L35" s="6"/>
      <c r="Y35"/>
    </row>
    <row r="36" spans="12:25">
      <c r="L36" s="6"/>
      <c r="Y36"/>
    </row>
    <row r="37" spans="12:25">
      <c r="L37" s="6"/>
      <c r="Y37"/>
    </row>
    <row r="38" spans="12:25">
      <c r="L38" s="6"/>
      <c r="Y38"/>
    </row>
    <row r="39" spans="12:25">
      <c r="L39" s="6"/>
      <c r="Y39"/>
    </row>
    <row r="40" spans="12:25">
      <c r="L40" s="6"/>
      <c r="Y40"/>
    </row>
    <row r="41" spans="12:25">
      <c r="L41" s="6"/>
      <c r="Y41"/>
    </row>
    <row r="42" spans="12:25">
      <c r="L42" s="6"/>
      <c r="Y42"/>
    </row>
    <row r="43" spans="12:25">
      <c r="L43" s="6"/>
      <c r="Y43"/>
    </row>
    <row r="44" spans="12:25">
      <c r="L44" s="6"/>
      <c r="Y44"/>
    </row>
    <row r="45" spans="12:25">
      <c r="L45" s="6"/>
      <c r="Y45"/>
    </row>
    <row r="46" spans="12:25">
      <c r="L46" s="6"/>
      <c r="Y46"/>
    </row>
    <row r="47" spans="12:25">
      <c r="L47" s="6"/>
      <c r="Y47"/>
    </row>
    <row r="48" spans="12:25">
      <c r="L48" s="6"/>
      <c r="Y48"/>
    </row>
    <row r="49" spans="12:25">
      <c r="L49" s="6"/>
      <c r="Y49"/>
    </row>
    <row r="50" spans="12:25">
      <c r="L50" s="6"/>
      <c r="Y50"/>
    </row>
    <row r="51" spans="12:25">
      <c r="L51" s="6"/>
      <c r="Y51"/>
    </row>
    <row r="52" spans="12:25">
      <c r="L52" s="6"/>
      <c r="Y52"/>
    </row>
    <row r="53" spans="12:25">
      <c r="L53" s="6"/>
      <c r="Y53"/>
    </row>
    <row r="54" spans="12:25">
      <c r="L54" s="6"/>
      <c r="Y54"/>
    </row>
    <row r="55" spans="12:25">
      <c r="L55" s="6"/>
      <c r="Y55"/>
    </row>
    <row r="56" spans="12:25">
      <c r="L56" s="6"/>
      <c r="Y56"/>
    </row>
    <row r="57" spans="12:25">
      <c r="L57" s="6"/>
      <c r="Y57"/>
    </row>
    <row r="58" spans="12:25">
      <c r="L58" s="6"/>
      <c r="Y58"/>
    </row>
    <row r="59" spans="12:25">
      <c r="L59" s="6"/>
      <c r="Y59"/>
    </row>
    <row r="60" spans="12:25">
      <c r="L60" s="6"/>
      <c r="Y60"/>
    </row>
    <row r="61" spans="12:25">
      <c r="L61" s="6"/>
      <c r="Y61"/>
    </row>
    <row r="62" spans="12:25">
      <c r="L62" s="6"/>
      <c r="Y62"/>
    </row>
    <row r="63" spans="12:25">
      <c r="L63" s="6"/>
      <c r="Y63"/>
    </row>
    <row r="64" spans="12:25">
      <c r="L64" s="6"/>
      <c r="Y64"/>
    </row>
    <row r="65" spans="12:25">
      <c r="L65" s="6"/>
      <c r="Y65"/>
    </row>
    <row r="66" spans="12:25">
      <c r="L66" s="6"/>
      <c r="Y66"/>
    </row>
    <row r="67" spans="12:25">
      <c r="L67" s="6"/>
      <c r="Y67"/>
    </row>
    <row r="68" spans="12:25">
      <c r="L68" s="6"/>
      <c r="Y68"/>
    </row>
    <row r="69" spans="12:25">
      <c r="L69" s="6"/>
      <c r="Y69"/>
    </row>
    <row r="70" spans="12:25">
      <c r="L70" s="6"/>
      <c r="Y70"/>
    </row>
    <row r="71" spans="12:25">
      <c r="L71" s="6"/>
      <c r="Y71"/>
    </row>
    <row r="72" spans="12:25">
      <c r="L72" s="6"/>
      <c r="Y72"/>
    </row>
  </sheetData>
  <sheetProtection algorithmName="SHA-512" hashValue="+7dBgpdo9O9HWzzHTYJ/iO0aCY9GLmN7cINRqHYVDqgzQUiQmOE0tEpRD3xmzIoxgFkNSUAo+pktqVs8xqsoQw==" saltValue="wD9Qrd0ZRTF9MwCIQUXRXg==" spinCount="100000" sheet="1" objects="1" scenarios="1"/>
  <pageMargins left="0.25" right="0.25" top="0.75" bottom="0.75" header="0.25" footer="0.2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45"/>
  <sheetViews>
    <sheetView workbookViewId="0"/>
  </sheetViews>
  <sheetFormatPr defaultColWidth="9.140625" defaultRowHeight="15"/>
  <cols>
    <col min="1" max="1" width="66.42578125" customWidth="1"/>
    <col min="2" max="2" width="52.140625" customWidth="1"/>
    <col min="3" max="3" width="0.85546875" customWidth="1"/>
    <col min="4" max="4" width="21.140625" customWidth="1"/>
    <col min="5" max="5" width="4" customWidth="1"/>
  </cols>
  <sheetData>
    <row r="1" spans="1:4" ht="40.700000000000003" customHeight="1">
      <c r="A1" s="27" t="s">
        <v>86</v>
      </c>
      <c r="B1" s="27"/>
      <c r="C1" s="28" t="s">
        <v>87</v>
      </c>
      <c r="D1" s="28"/>
    </row>
    <row r="2" spans="1:4" ht="15.75">
      <c r="A2" s="29" t="s">
        <v>88</v>
      </c>
      <c r="B2" s="29"/>
      <c r="C2" s="29"/>
      <c r="D2" s="29"/>
    </row>
    <row r="3" spans="1:4">
      <c r="A3" s="30"/>
      <c r="B3" s="30"/>
      <c r="C3" s="30"/>
      <c r="D3" s="30"/>
    </row>
    <row r="4" spans="1:4" ht="15.75">
      <c r="A4" s="25" t="s">
        <v>89</v>
      </c>
      <c r="B4" s="25"/>
      <c r="C4" s="25"/>
      <c r="D4" s="25"/>
    </row>
    <row r="5" spans="1:4">
      <c r="A5" s="24"/>
      <c r="B5" s="24"/>
      <c r="C5" s="24"/>
      <c r="D5" s="24"/>
    </row>
    <row r="6" spans="1:4">
      <c r="A6" s="23" t="s">
        <v>90</v>
      </c>
      <c r="B6" s="23"/>
      <c r="C6" s="23"/>
      <c r="D6" s="23"/>
    </row>
    <row r="7" spans="1:4">
      <c r="A7" s="26" t="s">
        <v>91</v>
      </c>
      <c r="B7" s="26"/>
      <c r="C7" s="26"/>
      <c r="D7" s="26"/>
    </row>
    <row r="8" spans="1:4">
      <c r="A8" s="24"/>
      <c r="B8" s="24"/>
      <c r="C8" s="24"/>
      <c r="D8" s="24"/>
    </row>
    <row r="9" spans="1:4">
      <c r="A9" s="23" t="s">
        <v>92</v>
      </c>
      <c r="B9" s="23"/>
      <c r="C9" s="23"/>
      <c r="D9" s="23"/>
    </row>
    <row r="10" spans="1:4">
      <c r="A10" s="26" t="s">
        <v>93</v>
      </c>
      <c r="B10" s="26"/>
      <c r="C10" s="26"/>
      <c r="D10" s="26"/>
    </row>
    <row r="11" spans="1:4">
      <c r="A11" s="24"/>
      <c r="B11" s="24"/>
      <c r="C11" s="24"/>
      <c r="D11" s="24"/>
    </row>
    <row r="12" spans="1:4">
      <c r="A12" s="23" t="s">
        <v>94</v>
      </c>
      <c r="B12" s="23"/>
      <c r="C12" s="23"/>
      <c r="D12" s="23"/>
    </row>
    <row r="13" spans="1:4">
      <c r="A13" s="26" t="s">
        <v>95</v>
      </c>
      <c r="B13" s="26"/>
      <c r="C13" s="26"/>
      <c r="D13" s="26"/>
    </row>
    <row r="14" spans="1:4">
      <c r="A14" s="24"/>
      <c r="B14" s="24"/>
      <c r="C14" s="24"/>
      <c r="D14" s="24"/>
    </row>
    <row r="15" spans="1:4">
      <c r="A15" s="23" t="s">
        <v>96</v>
      </c>
      <c r="B15" s="23"/>
      <c r="C15" s="23"/>
      <c r="D15" s="23"/>
    </row>
    <row r="16" spans="1:4">
      <c r="A16" s="26" t="s">
        <v>97</v>
      </c>
      <c r="B16" s="26"/>
      <c r="C16" s="26"/>
      <c r="D16" s="26"/>
    </row>
    <row r="17" spans="1:4">
      <c r="A17" s="24"/>
      <c r="B17" s="24"/>
      <c r="C17" s="24"/>
      <c r="D17" s="24"/>
    </row>
    <row r="18" spans="1:4">
      <c r="A18" s="23" t="s">
        <v>98</v>
      </c>
      <c r="B18" s="23"/>
      <c r="C18" s="23"/>
      <c r="D18" s="23"/>
    </row>
    <row r="19" spans="1:4">
      <c r="A19" s="26" t="s">
        <v>99</v>
      </c>
      <c r="B19" s="26"/>
      <c r="C19" s="26"/>
      <c r="D19" s="26"/>
    </row>
    <row r="20" spans="1:4">
      <c r="A20" s="24"/>
      <c r="B20" s="24"/>
      <c r="C20" s="24"/>
      <c r="D20" s="24"/>
    </row>
    <row r="21" spans="1:4">
      <c r="A21" s="23" t="s">
        <v>100</v>
      </c>
      <c r="B21" s="23"/>
      <c r="C21" s="23"/>
      <c r="D21" s="23"/>
    </row>
    <row r="22" spans="1:4">
      <c r="A22" s="26" t="s">
        <v>101</v>
      </c>
      <c r="B22" s="26"/>
      <c r="C22" s="26"/>
      <c r="D22" s="26"/>
    </row>
    <row r="23" spans="1:4">
      <c r="A23" s="24"/>
      <c r="B23" s="24"/>
      <c r="C23" s="24"/>
      <c r="D23" s="24"/>
    </row>
    <row r="24" spans="1:4">
      <c r="A24" s="23" t="s">
        <v>102</v>
      </c>
      <c r="B24" s="23"/>
      <c r="C24" s="23"/>
      <c r="D24" s="23"/>
    </row>
    <row r="25" spans="1:4">
      <c r="A25" s="26" t="s">
        <v>103</v>
      </c>
      <c r="B25" s="26"/>
      <c r="C25" s="26"/>
      <c r="D25" s="26"/>
    </row>
    <row r="26" spans="1:4">
      <c r="A26" s="23" t="s">
        <v>104</v>
      </c>
      <c r="B26" s="23"/>
      <c r="C26" s="23"/>
      <c r="D26" s="23"/>
    </row>
    <row r="27" spans="1:4">
      <c r="A27" s="23" t="s">
        <v>105</v>
      </c>
      <c r="B27" s="23"/>
      <c r="C27" s="23"/>
      <c r="D27" s="23"/>
    </row>
    <row r="28" spans="1:4">
      <c r="A28" s="24"/>
      <c r="B28" s="24"/>
      <c r="C28" s="24"/>
      <c r="D28" s="24"/>
    </row>
    <row r="29" spans="1:4" ht="15.75">
      <c r="A29" s="25" t="s">
        <v>106</v>
      </c>
      <c r="B29" s="25"/>
      <c r="C29" s="25"/>
      <c r="D29" s="25"/>
    </row>
    <row r="30" spans="1:4">
      <c r="A30" s="23" t="s">
        <v>107</v>
      </c>
      <c r="B30" s="23"/>
      <c r="C30" s="23"/>
      <c r="D30" s="23"/>
    </row>
    <row r="31" spans="1:4">
      <c r="A31" s="24"/>
      <c r="B31" s="24"/>
      <c r="C31" s="24"/>
      <c r="D31" s="24"/>
    </row>
    <row r="32" spans="1:4" ht="15.75">
      <c r="A32" s="25" t="s">
        <v>108</v>
      </c>
      <c r="B32" s="25"/>
      <c r="C32" s="25"/>
      <c r="D32" s="25"/>
    </row>
    <row r="33" spans="1:5">
      <c r="A33" s="23" t="s">
        <v>109</v>
      </c>
      <c r="B33" s="23"/>
      <c r="C33" s="23"/>
      <c r="D33" s="23"/>
    </row>
    <row r="34" spans="1:5">
      <c r="A34" s="24"/>
      <c r="B34" s="24"/>
      <c r="C34" s="24"/>
      <c r="D34" s="24"/>
    </row>
    <row r="35" spans="1:5" ht="15.75">
      <c r="A35" s="25" t="s">
        <v>110</v>
      </c>
      <c r="B35" s="25"/>
      <c r="C35" s="25"/>
      <c r="D35" s="25"/>
    </row>
    <row r="36" spans="1:5">
      <c r="A36" s="23" t="s">
        <v>111</v>
      </c>
      <c r="B36" s="23"/>
      <c r="C36" s="23"/>
      <c r="D36" s="23"/>
    </row>
    <row r="37" spans="1:5">
      <c r="A37" s="24"/>
      <c r="B37" s="24"/>
      <c r="C37" s="24"/>
      <c r="D37" s="24"/>
    </row>
    <row r="38" spans="1:5" ht="15.75">
      <c r="A38" s="25" t="s">
        <v>112</v>
      </c>
      <c r="B38" s="25"/>
      <c r="C38" s="25"/>
      <c r="D38" s="25"/>
    </row>
    <row r="39" spans="1:5">
      <c r="A39" s="23" t="s">
        <v>113</v>
      </c>
      <c r="B39" s="23"/>
      <c r="C39" s="23"/>
      <c r="D39" s="23"/>
    </row>
    <row r="40" spans="1:5">
      <c r="A40" s="23" t="s">
        <v>114</v>
      </c>
      <c r="B40" s="23"/>
      <c r="C40" s="23"/>
      <c r="D40" s="23"/>
    </row>
    <row r="41" spans="1:5">
      <c r="A41" s="23" t="s">
        <v>115</v>
      </c>
      <c r="B41" s="23"/>
      <c r="C41" s="23"/>
      <c r="D41" s="23"/>
    </row>
    <row r="42" spans="1:5">
      <c r="A42" s="24"/>
      <c r="B42" s="24"/>
      <c r="C42" s="24"/>
      <c r="D42" s="24"/>
    </row>
    <row r="43" spans="1:5" ht="15.75">
      <c r="A43" s="25" t="s">
        <v>116</v>
      </c>
      <c r="B43" s="25"/>
      <c r="C43" s="25"/>
      <c r="D43" s="25"/>
    </row>
    <row r="44" spans="1:5">
      <c r="A44" s="24"/>
      <c r="B44" s="24"/>
      <c r="C44" s="24"/>
      <c r="D44" s="24"/>
    </row>
    <row r="45" spans="1:5">
      <c r="A45" s="3" t="s">
        <v>117</v>
      </c>
      <c r="B45" s="22" t="s">
        <v>118</v>
      </c>
      <c r="C45" s="22"/>
      <c r="D45" s="22"/>
      <c r="E45" s="22"/>
    </row>
  </sheetData>
  <mergeCells count="47">
    <mergeCell ref="A1:B1"/>
    <mergeCell ref="C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B45:C45"/>
    <mergeCell ref="D45:E45"/>
    <mergeCell ref="A40:D40"/>
    <mergeCell ref="A41:D41"/>
    <mergeCell ref="A42:D42"/>
    <mergeCell ref="A43:D43"/>
    <mergeCell ref="A44:D44"/>
  </mergeCells>
  <pageMargins left="0.5" right="0.25" top="0.6" bottom="0.5" header="0.1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Payroll History</vt:lpstr>
      <vt:lpstr>Report Runtime Settings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Payroll History</dc:title>
  <dc:creator>Izzi Lucena</dc:creator>
  <cp:lastModifiedBy>michael trover</cp:lastModifiedBy>
  <cp:lastPrinted>2021-08-06T16:29:21Z</cp:lastPrinted>
  <dcterms:created xsi:type="dcterms:W3CDTF">2021-08-05T18:34:49Z</dcterms:created>
  <dcterms:modified xsi:type="dcterms:W3CDTF">2021-08-06T20:42:15Z</dcterms:modified>
</cp:coreProperties>
</file>