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lenrock-my.sharepoint.com/personal/coreilly_glenrocknj_net/Documents/COVID-19/"/>
    </mc:Choice>
  </mc:AlternateContent>
  <xr:revisionPtr revIDLastSave="0" documentId="8_{C83E6869-FA2B-4724-BBD8-0817298ECC3D}" xr6:coauthVersionLast="44" xr6:coauthVersionMax="44" xr10:uidLastSave="{00000000-0000-0000-0000-000000000000}"/>
  <bookViews>
    <workbookView xWindow="-120" yWindow="-120" windowWidth="19440" windowHeight="15000" activeTab="1" xr2:uid="{83B27DCA-FFF5-43AF-954B-E5407B45596B}"/>
  </bookViews>
  <sheets>
    <sheet name="Main" sheetId="1" r:id="rId1"/>
    <sheet name="Monthly outlook" sheetId="2" r:id="rId2"/>
    <sheet name="Daily Income-Daily Pass" sheetId="5" r:id="rId3"/>
    <sheet name="Salaries and Daily Costs" sheetId="4" r:id="rId4"/>
    <sheet name="Preseason setup expenses" sheetId="8" r:id="rId5"/>
    <sheet name="2019 Weather" sheetId="10" r:id="rId6"/>
    <sheet name="Open Operating Expenses" sheetId="9" r:id="rId7"/>
    <sheet name="Etc" sheetId="12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5" l="1"/>
  <c r="F9" i="5"/>
  <c r="N9" i="5"/>
  <c r="K9" i="5"/>
  <c r="D9" i="5"/>
  <c r="N7" i="4"/>
  <c r="K7" i="4"/>
  <c r="H7" i="4"/>
  <c r="E7" i="4"/>
  <c r="N6" i="4"/>
  <c r="K6" i="4"/>
  <c r="H6" i="4"/>
  <c r="E6" i="4"/>
  <c r="K5" i="4"/>
  <c r="H5" i="4"/>
  <c r="E5" i="4"/>
  <c r="P7" i="4"/>
  <c r="M7" i="4"/>
  <c r="J7" i="4"/>
  <c r="M5" i="4"/>
  <c r="G5" i="4"/>
  <c r="O3" i="4"/>
  <c r="L3" i="4"/>
  <c r="I3" i="4"/>
  <c r="J3" i="4" s="1"/>
  <c r="F3" i="4"/>
  <c r="D3" i="4"/>
  <c r="D6" i="4" s="1"/>
  <c r="H9" i="5" l="1"/>
  <c r="H11" i="5" s="1"/>
  <c r="Q14" i="5" s="1"/>
  <c r="O14" i="2" s="1"/>
  <c r="O18" i="2"/>
  <c r="O22" i="2"/>
  <c r="O12" i="2"/>
  <c r="O20" i="2"/>
  <c r="O24" i="2"/>
  <c r="O15" i="2"/>
  <c r="O19" i="2"/>
  <c r="O23" i="2"/>
  <c r="O16" i="2"/>
  <c r="O13" i="2"/>
  <c r="O21" i="2"/>
  <c r="K8" i="4"/>
  <c r="G3" i="4"/>
  <c r="E8" i="4"/>
  <c r="H8" i="4"/>
  <c r="N8" i="4"/>
  <c r="G6" i="4"/>
  <c r="J6" i="4"/>
  <c r="M3" i="4"/>
  <c r="M6" i="4" s="1"/>
  <c r="M8" i="4" s="1"/>
  <c r="P3" i="4"/>
  <c r="P6" i="4" s="1"/>
  <c r="G7" i="4"/>
  <c r="P5" i="4"/>
  <c r="D7" i="4"/>
  <c r="J5" i="4"/>
  <c r="J8" i="4" s="1"/>
  <c r="D5" i="4"/>
  <c r="L24" i="5"/>
  <c r="I24" i="5"/>
  <c r="L22" i="5"/>
  <c r="I22" i="5"/>
  <c r="O17" i="2" l="1"/>
  <c r="O11" i="2"/>
  <c r="G8" i="4"/>
  <c r="O9" i="2"/>
  <c r="O4" i="2"/>
  <c r="O3" i="2"/>
  <c r="O10" i="2"/>
  <c r="P8" i="4"/>
  <c r="D8" i="4"/>
  <c r="I5" i="1"/>
  <c r="L69" i="12"/>
  <c r="I69" i="12"/>
  <c r="F69" i="12"/>
  <c r="M68" i="12"/>
  <c r="N68" i="12" s="1"/>
  <c r="J68" i="12"/>
  <c r="K68" i="12" s="1"/>
  <c r="D68" i="12"/>
  <c r="M66" i="12"/>
  <c r="N66" i="12" s="1"/>
  <c r="J66" i="12"/>
  <c r="K66" i="12" s="1"/>
  <c r="D66" i="12"/>
  <c r="M64" i="12"/>
  <c r="N64" i="12" s="1"/>
  <c r="J64" i="12"/>
  <c r="K64" i="12" s="1"/>
  <c r="D64" i="12"/>
  <c r="N62" i="12"/>
  <c r="K62" i="12"/>
  <c r="G62" i="12"/>
  <c r="H62" i="12" s="1"/>
  <c r="D62" i="12"/>
  <c r="N60" i="12"/>
  <c r="K60" i="12"/>
  <c r="G60" i="12"/>
  <c r="H60" i="12" s="1"/>
  <c r="H69" i="12" s="1"/>
  <c r="D60" i="12"/>
  <c r="L55" i="12"/>
  <c r="I55" i="12"/>
  <c r="F55" i="12"/>
  <c r="M54" i="12"/>
  <c r="N54" i="12" s="1"/>
  <c r="J54" i="12"/>
  <c r="K54" i="12" s="1"/>
  <c r="D54" i="12"/>
  <c r="M52" i="12"/>
  <c r="N52" i="12" s="1"/>
  <c r="J52" i="12"/>
  <c r="K52" i="12" s="1"/>
  <c r="D52" i="12"/>
  <c r="M50" i="12"/>
  <c r="N50" i="12" s="1"/>
  <c r="J50" i="12"/>
  <c r="K50" i="12" s="1"/>
  <c r="D50" i="12"/>
  <c r="N48" i="12"/>
  <c r="K48" i="12"/>
  <c r="G48" i="12"/>
  <c r="H48" i="12" s="1"/>
  <c r="D48" i="12"/>
  <c r="N46" i="12"/>
  <c r="K46" i="12"/>
  <c r="G46" i="12"/>
  <c r="H46" i="12" s="1"/>
  <c r="D46" i="12"/>
  <c r="L41" i="12"/>
  <c r="I41" i="12"/>
  <c r="F41" i="12"/>
  <c r="M40" i="12"/>
  <c r="N40" i="12" s="1"/>
  <c r="J40" i="12"/>
  <c r="K40" i="12" s="1"/>
  <c r="D40" i="12"/>
  <c r="M38" i="12"/>
  <c r="N38" i="12" s="1"/>
  <c r="J38" i="12"/>
  <c r="K38" i="12" s="1"/>
  <c r="D38" i="12"/>
  <c r="M36" i="12"/>
  <c r="N36" i="12" s="1"/>
  <c r="J36" i="12"/>
  <c r="K36" i="12" s="1"/>
  <c r="D36" i="12"/>
  <c r="N34" i="12"/>
  <c r="K34" i="12"/>
  <c r="G34" i="12"/>
  <c r="H34" i="12" s="1"/>
  <c r="D34" i="12"/>
  <c r="N32" i="12"/>
  <c r="K32" i="12"/>
  <c r="G32" i="12"/>
  <c r="H32" i="12" s="1"/>
  <c r="D32" i="12"/>
  <c r="L27" i="12"/>
  <c r="I27" i="12"/>
  <c r="F27" i="12"/>
  <c r="M26" i="12"/>
  <c r="N26" i="12" s="1"/>
  <c r="J26" i="12"/>
  <c r="K26" i="12" s="1"/>
  <c r="D26" i="12"/>
  <c r="M24" i="12"/>
  <c r="N24" i="12" s="1"/>
  <c r="J24" i="12"/>
  <c r="K24" i="12" s="1"/>
  <c r="D24" i="12"/>
  <c r="M22" i="12"/>
  <c r="N22" i="12" s="1"/>
  <c r="J22" i="12"/>
  <c r="K22" i="12" s="1"/>
  <c r="D22" i="12"/>
  <c r="N20" i="12"/>
  <c r="K20" i="12"/>
  <c r="G20" i="12"/>
  <c r="H20" i="12" s="1"/>
  <c r="D20" i="12"/>
  <c r="N18" i="12"/>
  <c r="K18" i="12"/>
  <c r="G18" i="12"/>
  <c r="H18" i="12" s="1"/>
  <c r="D18" i="12"/>
  <c r="L13" i="12"/>
  <c r="I13" i="12"/>
  <c r="F13" i="12"/>
  <c r="M12" i="12"/>
  <c r="N12" i="12" s="1"/>
  <c r="J12" i="12"/>
  <c r="K12" i="12" s="1"/>
  <c r="D12" i="12"/>
  <c r="M10" i="12"/>
  <c r="N10" i="12" s="1"/>
  <c r="J10" i="12"/>
  <c r="K10" i="12" s="1"/>
  <c r="D10" i="12"/>
  <c r="M8" i="12"/>
  <c r="N8" i="12" s="1"/>
  <c r="J8" i="12"/>
  <c r="K8" i="12" s="1"/>
  <c r="D8" i="12"/>
  <c r="N6" i="12"/>
  <c r="K6" i="12"/>
  <c r="G6" i="12"/>
  <c r="H6" i="12" s="1"/>
  <c r="D6" i="12"/>
  <c r="N4" i="12"/>
  <c r="K4" i="12"/>
  <c r="G4" i="12"/>
  <c r="H4" i="12" s="1"/>
  <c r="D4" i="12"/>
  <c r="U24" i="12"/>
  <c r="H13" i="12" l="1"/>
  <c r="S8" i="4"/>
  <c r="O5" i="2"/>
  <c r="H41" i="12"/>
  <c r="D69" i="12"/>
  <c r="K13" i="12"/>
  <c r="D27" i="12"/>
  <c r="N27" i="12"/>
  <c r="D55" i="12"/>
  <c r="N55" i="12"/>
  <c r="D13" i="12"/>
  <c r="K69" i="12"/>
  <c r="N13" i="12"/>
  <c r="D41" i="12"/>
  <c r="K41" i="12"/>
  <c r="K27" i="12"/>
  <c r="K55" i="12"/>
  <c r="H27" i="12"/>
  <c r="N41" i="12"/>
  <c r="H55" i="12"/>
  <c r="N69" i="12"/>
  <c r="Q69" i="12" s="1"/>
  <c r="Q60" i="12" s="1"/>
  <c r="H22" i="5"/>
  <c r="H24" i="5"/>
  <c r="F14" i="4"/>
  <c r="F15" i="4"/>
  <c r="F16" i="4"/>
  <c r="F17" i="4"/>
  <c r="F13" i="4"/>
  <c r="I14" i="4"/>
  <c r="I15" i="4"/>
  <c r="I16" i="4"/>
  <c r="I17" i="4"/>
  <c r="I13" i="4"/>
  <c r="G14" i="8"/>
  <c r="G33" i="8"/>
  <c r="G32" i="8"/>
  <c r="G12" i="8"/>
  <c r="G13" i="8"/>
  <c r="G15" i="8"/>
  <c r="G35" i="8"/>
  <c r="I7" i="1" l="1"/>
  <c r="P4" i="2"/>
  <c r="R4" i="2" s="1"/>
  <c r="P14" i="2"/>
  <c r="P20" i="2"/>
  <c r="P3" i="2"/>
  <c r="P15" i="2"/>
  <c r="P21" i="2"/>
  <c r="P9" i="2"/>
  <c r="P10" i="2"/>
  <c r="P16" i="2"/>
  <c r="P22" i="2"/>
  <c r="P11" i="2"/>
  <c r="P17" i="2"/>
  <c r="P23" i="2"/>
  <c r="P12" i="2"/>
  <c r="P18" i="2"/>
  <c r="P24" i="2"/>
  <c r="P13" i="2"/>
  <c r="P19" i="2"/>
  <c r="S10" i="5"/>
  <c r="S55" i="12"/>
  <c r="Q46" i="12" s="1"/>
  <c r="S13" i="12"/>
  <c r="Q4" i="12" s="1"/>
  <c r="S41" i="12"/>
  <c r="Q32" i="12" s="1"/>
  <c r="S27" i="12"/>
  <c r="Q18" i="12" s="1"/>
  <c r="G34" i="8"/>
  <c r="P5" i="2" l="1"/>
  <c r="R3" i="2"/>
  <c r="R5" i="2" s="1"/>
  <c r="Z7" i="10"/>
  <c r="AE4" i="2" s="1"/>
  <c r="Z9" i="10"/>
  <c r="AE5" i="2" s="1"/>
  <c r="Z11" i="10"/>
  <c r="AE6" i="2" s="1"/>
  <c r="Z13" i="10"/>
  <c r="AE7" i="2" s="1"/>
  <c r="Z15" i="10"/>
  <c r="AE8" i="2" s="1"/>
  <c r="Z17" i="10"/>
  <c r="AE9" i="2" s="1"/>
  <c r="Z19" i="10"/>
  <c r="AE10" i="2" s="1"/>
  <c r="Z21" i="10"/>
  <c r="AE11" i="2" s="1"/>
  <c r="Z23" i="10"/>
  <c r="AE12" i="2" s="1"/>
  <c r="Z25" i="10"/>
  <c r="AE13" i="2" s="1"/>
  <c r="Z27" i="10"/>
  <c r="AE14" i="2" s="1"/>
  <c r="Z29" i="10"/>
  <c r="AE15" i="2" s="1"/>
  <c r="Z31" i="10"/>
  <c r="AE16" i="2" s="1"/>
  <c r="Z33" i="10"/>
  <c r="AE17" i="2" s="1"/>
  <c r="Z35" i="10"/>
  <c r="AE18" i="2" s="1"/>
  <c r="Z37" i="10"/>
  <c r="AE19" i="2" s="1"/>
  <c r="Z39" i="10"/>
  <c r="AE20" i="2" s="1"/>
  <c r="Z41" i="10"/>
  <c r="AE21" i="2" s="1"/>
  <c r="Z43" i="10"/>
  <c r="AE22" i="2" s="1"/>
  <c r="Z45" i="10"/>
  <c r="AE23" i="2" s="1"/>
  <c r="Z47" i="10"/>
  <c r="AE24" i="2" s="1"/>
  <c r="Z49" i="10"/>
  <c r="AE25" i="2" s="1"/>
  <c r="Z51" i="10"/>
  <c r="AE26" i="2" s="1"/>
  <c r="Z53" i="10"/>
  <c r="AE27" i="2" s="1"/>
  <c r="Z55" i="10"/>
  <c r="AE28" i="2" s="1"/>
  <c r="Z57" i="10"/>
  <c r="AE29" i="2" s="1"/>
  <c r="Z59" i="10"/>
  <c r="AE30" i="2" s="1"/>
  <c r="Z61" i="10"/>
  <c r="AE31" i="2" s="1"/>
  <c r="Z63" i="10"/>
  <c r="AE32" i="2" s="1"/>
  <c r="Z5" i="10"/>
  <c r="AE3" i="2" s="1"/>
  <c r="Q7" i="10"/>
  <c r="V4" i="2" s="1"/>
  <c r="Q9" i="10"/>
  <c r="V5" i="2" s="1"/>
  <c r="Q11" i="10"/>
  <c r="V6" i="2" s="1"/>
  <c r="Q13" i="10"/>
  <c r="V7" i="2" s="1"/>
  <c r="Q15" i="10"/>
  <c r="V8" i="2" s="1"/>
  <c r="Q17" i="10"/>
  <c r="V9" i="2" s="1"/>
  <c r="Q19" i="10"/>
  <c r="V10" i="2" s="1"/>
  <c r="Q21" i="10"/>
  <c r="V11" i="2" s="1"/>
  <c r="Q23" i="10"/>
  <c r="V12" i="2" s="1"/>
  <c r="Q25" i="10"/>
  <c r="V13" i="2" s="1"/>
  <c r="Q27" i="10"/>
  <c r="V14" i="2" s="1"/>
  <c r="Q29" i="10"/>
  <c r="V15" i="2" s="1"/>
  <c r="Q31" i="10"/>
  <c r="V16" i="2" s="1"/>
  <c r="Q33" i="10"/>
  <c r="V17" i="2" s="1"/>
  <c r="Q35" i="10"/>
  <c r="V18" i="2" s="1"/>
  <c r="Q37" i="10"/>
  <c r="V19" i="2" s="1"/>
  <c r="Q39" i="10"/>
  <c r="V20" i="2" s="1"/>
  <c r="Q41" i="10"/>
  <c r="V21" i="2" s="1"/>
  <c r="Q43" i="10"/>
  <c r="V22" i="2" s="1"/>
  <c r="Q45" i="10"/>
  <c r="V23" i="2" s="1"/>
  <c r="Q47" i="10"/>
  <c r="V24" i="2" s="1"/>
  <c r="Q49" i="10"/>
  <c r="V25" i="2" s="1"/>
  <c r="Q51" i="10"/>
  <c r="V26" i="2" s="1"/>
  <c r="Q53" i="10"/>
  <c r="V27" i="2" s="1"/>
  <c r="Q55" i="10"/>
  <c r="V28" i="2" s="1"/>
  <c r="Q57" i="10"/>
  <c r="V29" i="2" s="1"/>
  <c r="Q59" i="10"/>
  <c r="V30" i="2" s="1"/>
  <c r="Q61" i="10"/>
  <c r="V31" i="2" s="1"/>
  <c r="Q63" i="10"/>
  <c r="V32" i="2" s="1"/>
  <c r="Q65" i="10"/>
  <c r="V33" i="2" s="1"/>
  <c r="Q5" i="10"/>
  <c r="V3" i="2" s="1"/>
  <c r="H7" i="10"/>
  <c r="H9" i="10"/>
  <c r="H11" i="10"/>
  <c r="H13" i="10"/>
  <c r="H15" i="10"/>
  <c r="H17" i="10"/>
  <c r="H19" i="10"/>
  <c r="H21" i="10"/>
  <c r="H23" i="10"/>
  <c r="H25" i="10"/>
  <c r="H27" i="10"/>
  <c r="H29" i="10"/>
  <c r="H31" i="10"/>
  <c r="H33" i="10"/>
  <c r="H35" i="10"/>
  <c r="H37" i="10"/>
  <c r="M25" i="2" s="1"/>
  <c r="H39" i="10"/>
  <c r="M26" i="2" s="1"/>
  <c r="H41" i="10"/>
  <c r="M27" i="2" s="1"/>
  <c r="H43" i="10"/>
  <c r="M28" i="2" s="1"/>
  <c r="H45" i="10"/>
  <c r="M29" i="2" s="1"/>
  <c r="H47" i="10"/>
  <c r="M30" i="2" s="1"/>
  <c r="H49" i="10"/>
  <c r="M31" i="2" s="1"/>
  <c r="H51" i="10"/>
  <c r="M32" i="2" s="1"/>
  <c r="H53" i="10"/>
  <c r="M33" i="2" s="1"/>
  <c r="H55" i="10"/>
  <c r="M34" i="2" s="1"/>
  <c r="H57" i="10"/>
  <c r="M35" i="2" s="1"/>
  <c r="H59" i="10"/>
  <c r="M36" i="2" s="1"/>
  <c r="H61" i="10"/>
  <c r="M37" i="2" s="1"/>
  <c r="H63" i="10"/>
  <c r="M38" i="2" s="1"/>
  <c r="H65" i="10"/>
  <c r="M39" i="2" s="1"/>
  <c r="H5" i="10"/>
  <c r="K19" i="4"/>
  <c r="H19" i="4"/>
  <c r="E19" i="4"/>
  <c r="O16" i="4"/>
  <c r="O14" i="4"/>
  <c r="O15" i="4"/>
  <c r="O17" i="4"/>
  <c r="L16" i="4"/>
  <c r="L14" i="4"/>
  <c r="D14" i="4"/>
  <c r="G14" i="4" s="1"/>
  <c r="D15" i="4"/>
  <c r="D16" i="4"/>
  <c r="D17" i="4"/>
  <c r="M16" i="4" l="1"/>
  <c r="P15" i="4"/>
  <c r="M14" i="4"/>
  <c r="P17" i="4"/>
  <c r="P14" i="4"/>
  <c r="P16" i="4"/>
  <c r="G16" i="4"/>
  <c r="G19" i="4" s="1"/>
  <c r="D19" i="4"/>
  <c r="J16" i="4"/>
  <c r="J14" i="4"/>
  <c r="N20" i="5"/>
  <c r="K20" i="5"/>
  <c r="L25" i="5"/>
  <c r="I25" i="5"/>
  <c r="F25" i="5"/>
  <c r="G20" i="5"/>
  <c r="H20" i="5" s="1"/>
  <c r="J24" i="5"/>
  <c r="K24" i="5" s="1"/>
  <c r="J22" i="5"/>
  <c r="K22" i="5" s="1"/>
  <c r="M24" i="5"/>
  <c r="N24" i="5" s="1"/>
  <c r="M22" i="5"/>
  <c r="N22" i="5" s="1"/>
  <c r="D24" i="5"/>
  <c r="D22" i="5"/>
  <c r="D20" i="5"/>
  <c r="N21" i="4"/>
  <c r="N20" i="4"/>
  <c r="K21" i="4"/>
  <c r="K20" i="4"/>
  <c r="H21" i="4"/>
  <c r="H20" i="4"/>
  <c r="D21" i="4"/>
  <c r="E21" i="4"/>
  <c r="E20" i="4"/>
  <c r="J17" i="4"/>
  <c r="J15" i="4"/>
  <c r="G17" i="4"/>
  <c r="G15" i="4"/>
  <c r="O13" i="4"/>
  <c r="L17" i="4"/>
  <c r="M17" i="4" s="1"/>
  <c r="L15" i="4"/>
  <c r="M15" i="4" s="1"/>
  <c r="L13" i="4"/>
  <c r="K22" i="4" l="1"/>
  <c r="H22" i="4"/>
  <c r="P19" i="4"/>
  <c r="P21" i="4"/>
  <c r="M21" i="4"/>
  <c r="E22" i="4"/>
  <c r="N22" i="4"/>
  <c r="D25" i="5"/>
  <c r="M19" i="4"/>
  <c r="G21" i="4"/>
  <c r="J21" i="4"/>
  <c r="N25" i="5"/>
  <c r="K25" i="5"/>
  <c r="J19" i="4"/>
  <c r="H25" i="5"/>
  <c r="Q25" i="5" l="1"/>
  <c r="D13" i="4"/>
  <c r="AG6" i="2" l="1"/>
  <c r="AG10" i="2"/>
  <c r="AG14" i="2"/>
  <c r="AG18" i="2"/>
  <c r="AG22" i="2"/>
  <c r="AG26" i="2"/>
  <c r="AG30" i="2"/>
  <c r="X4" i="2"/>
  <c r="X8" i="2"/>
  <c r="X12" i="2"/>
  <c r="X16" i="2"/>
  <c r="X20" i="2"/>
  <c r="X24" i="2"/>
  <c r="X28" i="2"/>
  <c r="X32" i="2"/>
  <c r="O27" i="2"/>
  <c r="O31" i="2"/>
  <c r="O35" i="2"/>
  <c r="O39" i="2"/>
  <c r="AG8" i="2"/>
  <c r="AG16" i="2"/>
  <c r="AG24" i="2"/>
  <c r="AG32" i="2"/>
  <c r="X10" i="2"/>
  <c r="X18" i="2"/>
  <c r="X26" i="2"/>
  <c r="X3" i="2"/>
  <c r="O25" i="2"/>
  <c r="O33" i="2"/>
  <c r="AG5" i="2"/>
  <c r="AG17" i="2"/>
  <c r="AG25" i="2"/>
  <c r="AG3" i="2"/>
  <c r="X11" i="2"/>
  <c r="X19" i="2"/>
  <c r="X27" i="2"/>
  <c r="O30" i="2"/>
  <c r="O38" i="2"/>
  <c r="AG7" i="2"/>
  <c r="AG11" i="2"/>
  <c r="AG15" i="2"/>
  <c r="AG19" i="2"/>
  <c r="AG23" i="2"/>
  <c r="AG27" i="2"/>
  <c r="AG31" i="2"/>
  <c r="X5" i="2"/>
  <c r="X9" i="2"/>
  <c r="X13" i="2"/>
  <c r="X17" i="2"/>
  <c r="X21" i="2"/>
  <c r="X25" i="2"/>
  <c r="X29" i="2"/>
  <c r="X33" i="2"/>
  <c r="O28" i="2"/>
  <c r="O32" i="2"/>
  <c r="O36" i="2"/>
  <c r="AG4" i="2"/>
  <c r="AG12" i="2"/>
  <c r="AG20" i="2"/>
  <c r="AG28" i="2"/>
  <c r="X6" i="2"/>
  <c r="X14" i="2"/>
  <c r="X22" i="2"/>
  <c r="X30" i="2"/>
  <c r="O29" i="2"/>
  <c r="O37" i="2"/>
  <c r="AG9" i="2"/>
  <c r="AG13" i="2"/>
  <c r="AG21" i="2"/>
  <c r="AG29" i="2"/>
  <c r="X7" i="2"/>
  <c r="X15" i="2"/>
  <c r="X23" i="2"/>
  <c r="X31" i="2"/>
  <c r="O26" i="2"/>
  <c r="O34" i="2"/>
  <c r="Q20" i="5"/>
  <c r="G13" i="4"/>
  <c r="G20" i="4" s="1"/>
  <c r="P13" i="4"/>
  <c r="P20" i="4" s="1"/>
  <c r="J13" i="4"/>
  <c r="J20" i="4" s="1"/>
  <c r="J22" i="4" s="1"/>
  <c r="M13" i="4"/>
  <c r="M20" i="4" s="1"/>
  <c r="M22" i="4" s="1"/>
  <c r="D20" i="4"/>
  <c r="D22" i="4" s="1"/>
  <c r="B14" i="1"/>
  <c r="C14" i="1"/>
  <c r="O40" i="2" l="1"/>
  <c r="S61" i="12"/>
  <c r="S64" i="12" s="1"/>
  <c r="G22" i="4"/>
  <c r="X34" i="2"/>
  <c r="P22" i="4"/>
  <c r="J8" i="1" l="1"/>
  <c r="J10" i="1"/>
  <c r="S26" i="4"/>
  <c r="S19" i="12" s="1"/>
  <c r="S22" i="12" s="1"/>
  <c r="S33" i="12"/>
  <c r="S36" i="12" s="1"/>
  <c r="Y30" i="2"/>
  <c r="AA30" i="2" s="1"/>
  <c r="R22" i="2"/>
  <c r="R11" i="2"/>
  <c r="R19" i="2"/>
  <c r="AH17" i="2"/>
  <c r="AJ17" i="2" s="1"/>
  <c r="R17" i="2"/>
  <c r="P37" i="2"/>
  <c r="R37" i="2" s="1"/>
  <c r="R15" i="2"/>
  <c r="R13" i="2"/>
  <c r="AH22" i="2"/>
  <c r="AJ22" i="2" s="1"/>
  <c r="Y24" i="2"/>
  <c r="AA24" i="2" s="1"/>
  <c r="Y20" i="2"/>
  <c r="AA20" i="2" s="1"/>
  <c r="R12" i="2"/>
  <c r="R16" i="2"/>
  <c r="R20" i="2"/>
  <c r="R24" i="2"/>
  <c r="AH21" i="2"/>
  <c r="AJ21" i="2" s="1"/>
  <c r="Y31" i="2"/>
  <c r="AA31" i="2" s="1"/>
  <c r="R21" i="2"/>
  <c r="P29" i="2"/>
  <c r="R29" i="2" s="1"/>
  <c r="S21" i="5"/>
  <c r="S23" i="5" s="1"/>
  <c r="P27" i="2" l="1"/>
  <c r="R27" i="2" s="1"/>
  <c r="Y11" i="2"/>
  <c r="AA11" i="2" s="1"/>
  <c r="Y21" i="2"/>
  <c r="AA21" i="2" s="1"/>
  <c r="Y3" i="2"/>
  <c r="AA3" i="2" s="1"/>
  <c r="P32" i="2"/>
  <c r="R32" i="2" s="1"/>
  <c r="AH30" i="2"/>
  <c r="AJ30" i="2" s="1"/>
  <c r="AH23" i="2"/>
  <c r="AJ23" i="2" s="1"/>
  <c r="AH3" i="2"/>
  <c r="AJ3" i="2" s="1"/>
  <c r="Y4" i="2"/>
  <c r="AA4" i="2" s="1"/>
  <c r="Y28" i="2"/>
  <c r="AA28" i="2" s="1"/>
  <c r="AH7" i="2"/>
  <c r="AJ7" i="2" s="1"/>
  <c r="P31" i="2"/>
  <c r="R31" i="2" s="1"/>
  <c r="P38" i="2"/>
  <c r="R38" i="2" s="1"/>
  <c r="AH13" i="2"/>
  <c r="AJ13" i="2" s="1"/>
  <c r="Y8" i="2"/>
  <c r="AA8" i="2" s="1"/>
  <c r="AH10" i="2"/>
  <c r="AJ10" i="2" s="1"/>
  <c r="P39" i="2"/>
  <c r="R39" i="2" s="1"/>
  <c r="AH15" i="2"/>
  <c r="AJ15" i="2" s="1"/>
  <c r="Y7" i="2"/>
  <c r="AA7" i="2" s="1"/>
  <c r="AH14" i="2"/>
  <c r="AJ14" i="2" s="1"/>
  <c r="Y15" i="2"/>
  <c r="AA15" i="2" s="1"/>
  <c r="Y33" i="2"/>
  <c r="AA33" i="2" s="1"/>
  <c r="AH31" i="2"/>
  <c r="AJ31" i="2" s="1"/>
  <c r="Y19" i="2"/>
  <c r="AA19" i="2" s="1"/>
  <c r="Y23" i="2"/>
  <c r="AA23" i="2" s="1"/>
  <c r="P36" i="2"/>
  <c r="R36" i="2" s="1"/>
  <c r="Y12" i="2"/>
  <c r="AA12" i="2" s="1"/>
  <c r="AH6" i="2"/>
  <c r="AJ6" i="2" s="1"/>
  <c r="AH26" i="2"/>
  <c r="AJ26" i="2" s="1"/>
  <c r="AH5" i="2"/>
  <c r="AJ5" i="2" s="1"/>
  <c r="Y25" i="2"/>
  <c r="AA25" i="2" s="1"/>
  <c r="AH19" i="2"/>
  <c r="AJ19" i="2" s="1"/>
  <c r="P25" i="2"/>
  <c r="R25" i="2" s="1"/>
  <c r="Y27" i="2"/>
  <c r="AA27" i="2" s="1"/>
  <c r="P28" i="2"/>
  <c r="R28" i="2" s="1"/>
  <c r="Y16" i="2"/>
  <c r="AA16" i="2" s="1"/>
  <c r="Y32" i="2"/>
  <c r="AA32" i="2" s="1"/>
  <c r="AH18" i="2"/>
  <c r="AJ18" i="2" s="1"/>
  <c r="P33" i="2"/>
  <c r="R33" i="2" s="1"/>
  <c r="AH29" i="2"/>
  <c r="AJ29" i="2" s="1"/>
  <c r="Y17" i="2"/>
  <c r="AA17" i="2" s="1"/>
  <c r="AH11" i="2"/>
  <c r="AJ11" i="2" s="1"/>
  <c r="AH27" i="2"/>
  <c r="AJ27" i="2" s="1"/>
  <c r="AH9" i="2"/>
  <c r="AJ9" i="2" s="1"/>
  <c r="P35" i="2"/>
  <c r="R35" i="2" s="1"/>
  <c r="Y5" i="2"/>
  <c r="AA5" i="2" s="1"/>
  <c r="Y6" i="2"/>
  <c r="AA6" i="2" s="1"/>
  <c r="Y29" i="2"/>
  <c r="AA29" i="2" s="1"/>
  <c r="Y14" i="2"/>
  <c r="AA14" i="2" s="1"/>
  <c r="S5" i="12"/>
  <c r="S8" i="12" s="1"/>
  <c r="R18" i="2"/>
  <c r="AH4" i="2"/>
  <c r="AJ4" i="2" s="1"/>
  <c r="AH25" i="2"/>
  <c r="AJ25" i="2" s="1"/>
  <c r="R23" i="2"/>
  <c r="Y9" i="2"/>
  <c r="AA9" i="2" s="1"/>
  <c r="P30" i="2"/>
  <c r="R30" i="2" s="1"/>
  <c r="Y10" i="2"/>
  <c r="AA10" i="2" s="1"/>
  <c r="AH16" i="2"/>
  <c r="AJ16" i="2" s="1"/>
  <c r="Y13" i="2"/>
  <c r="AA13" i="2" s="1"/>
  <c r="P34" i="2"/>
  <c r="R34" i="2" s="1"/>
  <c r="R14" i="2"/>
  <c r="Y22" i="2"/>
  <c r="AA22" i="2" s="1"/>
  <c r="AH20" i="2"/>
  <c r="AJ20" i="2" s="1"/>
  <c r="AH24" i="2"/>
  <c r="AJ24" i="2" s="1"/>
  <c r="P26" i="2"/>
  <c r="R26" i="2" s="1"/>
  <c r="R10" i="2"/>
  <c r="Y18" i="2"/>
  <c r="AA18" i="2" s="1"/>
  <c r="AH8" i="2"/>
  <c r="AJ8" i="2" s="1"/>
  <c r="AH32" i="2"/>
  <c r="AJ32" i="2" s="1"/>
  <c r="Y26" i="2"/>
  <c r="AA26" i="2" s="1"/>
  <c r="AH12" i="2"/>
  <c r="AJ12" i="2" s="1"/>
  <c r="AH28" i="2"/>
  <c r="AJ28" i="2" s="1"/>
  <c r="S47" i="12"/>
  <c r="S50" i="12" s="1"/>
  <c r="R9" i="2"/>
  <c r="P40" i="2" l="1"/>
  <c r="Y34" i="2"/>
  <c r="AA34" i="2"/>
  <c r="R40" i="2"/>
  <c r="AJ33" i="2"/>
  <c r="I4" i="1" l="1"/>
  <c r="I10" i="1"/>
  <c r="I12" i="1" s="1"/>
  <c r="Q9" i="5" l="1"/>
  <c r="S12" i="5"/>
  <c r="K11" i="5"/>
  <c r="L11" i="5"/>
  <c r="F11" i="5"/>
  <c r="I11" i="5"/>
  <c r="D11" i="5"/>
  <c r="N11" i="5"/>
</calcChain>
</file>

<file path=xl/sharedStrings.xml><?xml version="1.0" encoding="utf-8"?>
<sst xmlns="http://schemas.openxmlformats.org/spreadsheetml/2006/main" count="976" uniqueCount="157">
  <si>
    <t>Memberships</t>
  </si>
  <si>
    <t>Swim Team</t>
  </si>
  <si>
    <t>Pavilion</t>
  </si>
  <si>
    <t>Concession</t>
  </si>
  <si>
    <t>Wyckoff Y</t>
  </si>
  <si>
    <t>Pool Parties</t>
  </si>
  <si>
    <t>Revenue</t>
  </si>
  <si>
    <t>Costs</t>
  </si>
  <si>
    <t>Salaries and Wages</t>
  </si>
  <si>
    <t>Other Expenses</t>
  </si>
  <si>
    <t>Salaries and wages</t>
  </si>
  <si>
    <t>Additional Safety Equipment</t>
  </si>
  <si>
    <t>General Operation</t>
  </si>
  <si>
    <t>Opening Expenses</t>
  </si>
  <si>
    <t>Rate/Hr</t>
  </si>
  <si>
    <t>Manager</t>
  </si>
  <si>
    <t>Lap swim</t>
  </si>
  <si>
    <t>Beginning</t>
  </si>
  <si>
    <t>End</t>
  </si>
  <si>
    <t>Total Hours</t>
  </si>
  <si>
    <t>SD Monitor</t>
  </si>
  <si>
    <t>Lap Swim</t>
  </si>
  <si>
    <t>General</t>
  </si>
  <si>
    <t>Total</t>
  </si>
  <si>
    <t># LGs</t>
  </si>
  <si>
    <t># GGs</t>
  </si>
  <si>
    <t>Average LG Hourly Rate</t>
  </si>
  <si>
    <t>Average Manager Rate</t>
  </si>
  <si>
    <t>Average SD Mon. Rate</t>
  </si>
  <si>
    <t>Gate Guard Rate</t>
  </si>
  <si>
    <t>Max Capacity</t>
  </si>
  <si>
    <t>Adult</t>
  </si>
  <si>
    <t>Child/SR</t>
  </si>
  <si>
    <t>Guest Fees</t>
  </si>
  <si>
    <t>Hourly Rates</t>
  </si>
  <si>
    <t>Admittance Fee</t>
  </si>
  <si>
    <t>Lap</t>
  </si>
  <si>
    <t>Full Capacity Daily Gain/Loss</t>
  </si>
  <si>
    <t>Salaries</t>
  </si>
  <si>
    <t>Cost (-)</t>
  </si>
  <si>
    <t>Wages (-)</t>
  </si>
  <si>
    <t>Revenue (+)</t>
  </si>
  <si>
    <t>Cleaning</t>
  </si>
  <si>
    <t>75% Capacity Daily Gain/Loss</t>
  </si>
  <si>
    <t>50% Capacity Daily Gain/Loss</t>
  </si>
  <si>
    <t>25% Capacity Daily Gain/Loss</t>
  </si>
  <si>
    <t>10%  Capacity Daily Gain/Loss</t>
  </si>
  <si>
    <t>Lap Swim Daily Gain/Loss</t>
  </si>
  <si>
    <t>Sunday</t>
  </si>
  <si>
    <t>Monday</t>
  </si>
  <si>
    <t>Tuesday</t>
  </si>
  <si>
    <t>Wednesday</t>
  </si>
  <si>
    <t>Thursday</t>
  </si>
  <si>
    <t>Friday</t>
  </si>
  <si>
    <t>Saturday</t>
  </si>
  <si>
    <t>July</t>
  </si>
  <si>
    <t>August</t>
  </si>
  <si>
    <t>September</t>
  </si>
  <si>
    <t>Wed</t>
  </si>
  <si>
    <t>Thu</t>
  </si>
  <si>
    <t>Fri</t>
  </si>
  <si>
    <t>Sat</t>
  </si>
  <si>
    <t>Sun</t>
  </si>
  <si>
    <t>Mon</t>
  </si>
  <si>
    <t>Tue</t>
  </si>
  <si>
    <t>SafetyNet</t>
  </si>
  <si>
    <t>NJ</t>
  </si>
  <si>
    <t>▼</t>
  </si>
  <si>
    <t>Ramsey</t>
  </si>
  <si>
    <t>State</t>
  </si>
  <si>
    <t>City</t>
  </si>
  <si>
    <t>Eastern Time</t>
  </si>
  <si>
    <t>Source</t>
  </si>
  <si>
    <t>Daily</t>
  </si>
  <si>
    <t>Precip</t>
  </si>
  <si>
    <t>Temp</t>
  </si>
  <si>
    <t>Max</t>
  </si>
  <si>
    <t>Min</t>
  </si>
  <si>
    <t>75% Capacity Guest Fee Revenue</t>
  </si>
  <si>
    <t xml:space="preserve"> 50% Capacity Guest Fee Revenue</t>
  </si>
  <si>
    <t>25% Capacity Guest Fee Revenue</t>
  </si>
  <si>
    <t>10% Capacity Guest Fee Revenue</t>
  </si>
  <si>
    <t>Lap Swim Only Revenue</t>
  </si>
  <si>
    <t>Score</t>
  </si>
  <si>
    <t>Est Capacity</t>
  </si>
  <si>
    <t>Day</t>
  </si>
  <si>
    <t>Weekday</t>
  </si>
  <si>
    <t>DOW Factor</t>
  </si>
  <si>
    <t>Expenses</t>
  </si>
  <si>
    <t>Gain/Loss</t>
  </si>
  <si>
    <t>Category</t>
  </si>
  <si>
    <t>Date</t>
  </si>
  <si>
    <t>Item</t>
  </si>
  <si>
    <t>Cost</t>
  </si>
  <si>
    <t>Payroll</t>
  </si>
  <si>
    <t>Home Depot</t>
  </si>
  <si>
    <t>Power Washer</t>
  </si>
  <si>
    <t>Bee Spray/Hose nozzle</t>
  </si>
  <si>
    <t>Dewinteriziation</t>
  </si>
  <si>
    <t>Paradiso Pools</t>
  </si>
  <si>
    <t>Y</t>
  </si>
  <si>
    <t>Pool Cover Removal</t>
  </si>
  <si>
    <t>Complete</t>
  </si>
  <si>
    <t>Incomplete</t>
  </si>
  <si>
    <t>Plumbing</t>
  </si>
  <si>
    <t>Company</t>
  </si>
  <si>
    <t>Maintenance</t>
  </si>
  <si>
    <t>Staff</t>
  </si>
  <si>
    <t>Ruffcut</t>
  </si>
  <si>
    <t>General Supplies</t>
  </si>
  <si>
    <t>Heaters</t>
  </si>
  <si>
    <t>First Aid</t>
  </si>
  <si>
    <t>Misc</t>
  </si>
  <si>
    <t>Essential to maintain</t>
  </si>
  <si>
    <t>Essential to open</t>
  </si>
  <si>
    <t>N</t>
  </si>
  <si>
    <t>Grounds</t>
  </si>
  <si>
    <t>Mulch</t>
  </si>
  <si>
    <t>Mixed first aid supplies</t>
  </si>
  <si>
    <t>AED Battery</t>
  </si>
  <si>
    <t>Staff PPE</t>
  </si>
  <si>
    <t>Aslan</t>
  </si>
  <si>
    <t>Cleaning Contract</t>
  </si>
  <si>
    <t>Total ETM</t>
  </si>
  <si>
    <t>Total ETO</t>
  </si>
  <si>
    <t>Difference</t>
  </si>
  <si>
    <t>HEPA BVMs</t>
  </si>
  <si>
    <t>Norman Mechanical</t>
  </si>
  <si>
    <t>Repair/Replace BR Heater</t>
  </si>
  <si>
    <t>Replace HT Latch</t>
  </si>
  <si>
    <t>Paint Fiberglass Pool Gutters</t>
  </si>
  <si>
    <t>Replace Changing Table</t>
  </si>
  <si>
    <t>Replace Broken Ladder Rungs</t>
  </si>
  <si>
    <t>Life Assist</t>
  </si>
  <si>
    <t>Net</t>
  </si>
  <si>
    <t>Estimated July 1-August 31</t>
  </si>
  <si>
    <t>Guest Fee Revenue</t>
  </si>
  <si>
    <t>Borough-Sourced Budget Estimate</t>
  </si>
  <si>
    <t>2020 Operating and Salaries/Wages (Spreadsheet)</t>
  </si>
  <si>
    <t xml:space="preserve">DOW= Day of Week </t>
  </si>
  <si>
    <t>Assumed 10% reduction on weekdays</t>
  </si>
  <si>
    <t xml:space="preserve">Yellow boxes may be changed or added to </t>
  </si>
  <si>
    <t>Light Green boxes are numbers sourced from town budget</t>
  </si>
  <si>
    <t>Green boxes signify positive output</t>
  </si>
  <si>
    <t>Red boxes signify negative output</t>
  </si>
  <si>
    <t>Beginning*</t>
  </si>
  <si>
    <t>End*</t>
  </si>
  <si>
    <t>*All times expressed in military style</t>
  </si>
  <si>
    <t xml:space="preserve">I created a standardized scale to estimate the number of people that would be coming to the pool on a given day. To do this, I took 2019 weather data collected in Ramsey for the months of July, August, and September. The score is created from the assumption that it will be full capacity on a 90 day and 25% of capacity at 70. This scale also reduces the score in the event of rain. </t>
  </si>
  <si>
    <t>N/A</t>
  </si>
  <si>
    <t>Lap Swim Only (June 29-July 16)</t>
  </si>
  <si>
    <t>"Regular" Operation (July 17-August 31)</t>
  </si>
  <si>
    <t>"Regular" Operation Full Capacity Guest Fee Revenue (July 17-August 31)</t>
  </si>
  <si>
    <t>Italics are 2020 budget</t>
  </si>
  <si>
    <t>Net*</t>
  </si>
  <si>
    <t>*This number does not inlude all of general operation, expect this number to be much higher</t>
  </si>
  <si>
    <t>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</si>
</sst>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rgb="FF333333"/>
      <name val="Inherit"/>
    </font>
    <font>
      <sz val="7"/>
      <color rgb="FF5CAACE"/>
      <name val="Inherit"/>
    </font>
    <font>
      <b/>
      <sz val="10"/>
      <color rgb="FF333333"/>
      <name val="Inherit"/>
    </font>
    <font>
      <sz val="11"/>
      <color theme="7" tint="0.79998168889431442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C7EDFF"/>
        <bgColor indexed="64"/>
      </patternFill>
    </fill>
    <fill>
      <patternFill patternType="solid">
        <fgColor rgb="FFBCEAFF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rgb="FF666666"/>
      </left>
      <right style="medium">
        <color rgb="FF666666"/>
      </right>
      <top style="medium">
        <color rgb="FF666666"/>
      </top>
      <bottom/>
      <diagonal/>
    </border>
    <border>
      <left style="medium">
        <color rgb="FF666666"/>
      </left>
      <right style="medium">
        <color rgb="FF666666"/>
      </right>
      <top/>
      <bottom style="medium">
        <color rgb="FF666666"/>
      </bottom>
      <diagonal/>
    </border>
    <border>
      <left style="medium">
        <color rgb="FF666666"/>
      </left>
      <right style="medium">
        <color rgb="FF666666"/>
      </right>
      <top/>
      <bottom/>
      <diagonal/>
    </border>
    <border>
      <left/>
      <right/>
      <top/>
      <bottom style="medium">
        <color rgb="FF666666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2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6" xfId="0" applyFill="1" applyBorder="1"/>
    <xf numFmtId="0" fontId="0" fillId="2" borderId="7" xfId="0" applyFill="1" applyBorder="1"/>
    <xf numFmtId="0" fontId="0" fillId="3" borderId="1" xfId="0" applyFill="1" applyBorder="1"/>
    <xf numFmtId="0" fontId="0" fillId="3" borderId="5" xfId="0" applyFill="1" applyBorder="1"/>
    <xf numFmtId="44" fontId="0" fillId="0" borderId="2" xfId="1" applyFont="1" applyBorder="1"/>
    <xf numFmtId="44" fontId="0" fillId="0" borderId="3" xfId="1" applyFont="1" applyBorder="1"/>
    <xf numFmtId="44" fontId="0" fillId="0" borderId="4" xfId="1" applyFont="1" applyBorder="1"/>
    <xf numFmtId="44" fontId="0" fillId="0" borderId="5" xfId="1" applyFont="1" applyBorder="1"/>
    <xf numFmtId="44" fontId="0" fillId="2" borderId="2" xfId="1" applyFont="1" applyFill="1" applyBorder="1"/>
    <xf numFmtId="44" fontId="0" fillId="2" borderId="3" xfId="1" applyFont="1" applyFill="1" applyBorder="1"/>
    <xf numFmtId="0" fontId="0" fillId="3" borderId="7" xfId="0" applyFill="1" applyBorder="1"/>
    <xf numFmtId="44" fontId="0" fillId="3" borderId="2" xfId="1" applyFont="1" applyFill="1" applyBorder="1"/>
    <xf numFmtId="44" fontId="0" fillId="3" borderId="3" xfId="1" applyFont="1" applyFill="1" applyBorder="1"/>
    <xf numFmtId="44" fontId="0" fillId="5" borderId="2" xfId="1" applyFont="1" applyFill="1" applyBorder="1"/>
    <xf numFmtId="44" fontId="0" fillId="0" borderId="3" xfId="1" applyFont="1" applyFill="1" applyBorder="1"/>
    <xf numFmtId="0" fontId="0" fillId="0" borderId="0" xfId="0" applyBorder="1"/>
    <xf numFmtId="0" fontId="0" fillId="0" borderId="11" xfId="0" applyBorder="1"/>
    <xf numFmtId="0" fontId="0" fillId="2" borderId="0" xfId="0" applyNumberFormat="1" applyFill="1"/>
    <xf numFmtId="0" fontId="0" fillId="2" borderId="0" xfId="0" applyFill="1"/>
    <xf numFmtId="0" fontId="0" fillId="2" borderId="0" xfId="0" applyFill="1" applyBorder="1"/>
    <xf numFmtId="0" fontId="0" fillId="0" borderId="13" xfId="0" applyBorder="1"/>
    <xf numFmtId="0" fontId="0" fillId="0" borderId="14" xfId="0" applyBorder="1"/>
    <xf numFmtId="0" fontId="0" fillId="0" borderId="2" xfId="0" applyNumberFormat="1" applyBorder="1"/>
    <xf numFmtId="0" fontId="0" fillId="0" borderId="4" xfId="0" applyNumberFormat="1" applyBorder="1"/>
    <xf numFmtId="0" fontId="0" fillId="2" borderId="13" xfId="0" applyFill="1" applyBorder="1"/>
    <xf numFmtId="0" fontId="0" fillId="0" borderId="9" xfId="0" applyBorder="1"/>
    <xf numFmtId="0" fontId="0" fillId="0" borderId="10" xfId="0" applyBorder="1"/>
    <xf numFmtId="0" fontId="0" fillId="0" borderId="12" xfId="0" applyBorder="1"/>
    <xf numFmtId="0" fontId="0" fillId="6" borderId="2" xfId="0" applyFill="1" applyBorder="1"/>
    <xf numFmtId="0" fontId="0" fillId="6" borderId="2" xfId="0" applyNumberFormat="1" applyFill="1" applyBorder="1"/>
    <xf numFmtId="0" fontId="0" fillId="0" borderId="0" xfId="0" applyFill="1"/>
    <xf numFmtId="0" fontId="0" fillId="6" borderId="0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3" xfId="0" applyFill="1" applyBorder="1"/>
    <xf numFmtId="0" fontId="0" fillId="0" borderId="18" xfId="0" applyNumberFormat="1" applyBorder="1"/>
    <xf numFmtId="0" fontId="0" fillId="6" borderId="16" xfId="0" applyNumberFormat="1" applyFill="1" applyBorder="1"/>
    <xf numFmtId="0" fontId="0" fillId="0" borderId="16" xfId="0" applyNumberFormat="1" applyBorder="1"/>
    <xf numFmtId="0" fontId="0" fillId="0" borderId="19" xfId="0" applyNumberFormat="1" applyBorder="1"/>
    <xf numFmtId="0" fontId="0" fillId="0" borderId="20" xfId="0" applyBorder="1"/>
    <xf numFmtId="164" fontId="0" fillId="0" borderId="0" xfId="0" applyNumberFormat="1"/>
    <xf numFmtId="164" fontId="0" fillId="5" borderId="3" xfId="0" applyNumberFormat="1" applyFill="1" applyBorder="1"/>
    <xf numFmtId="164" fontId="0" fillId="5" borderId="5" xfId="0" applyNumberFormat="1" applyFill="1" applyBorder="1"/>
    <xf numFmtId="0" fontId="0" fillId="0" borderId="0" xfId="0" applyFill="1" applyBorder="1"/>
    <xf numFmtId="44" fontId="0" fillId="2" borderId="0" xfId="1" applyFont="1" applyFill="1"/>
    <xf numFmtId="0" fontId="0" fillId="0" borderId="21" xfId="0" applyBorder="1"/>
    <xf numFmtId="0" fontId="0" fillId="2" borderId="12" xfId="0" applyFill="1" applyBorder="1"/>
    <xf numFmtId="0" fontId="0" fillId="2" borderId="21" xfId="0" applyFill="1" applyBorder="1"/>
    <xf numFmtId="0" fontId="0" fillId="2" borderId="11" xfId="0" applyFill="1" applyBorder="1"/>
    <xf numFmtId="164" fontId="0" fillId="0" borderId="0" xfId="0" applyNumberFormat="1" applyBorder="1"/>
    <xf numFmtId="164" fontId="0" fillId="6" borderId="0" xfId="0" applyNumberFormat="1" applyFill="1" applyBorder="1"/>
    <xf numFmtId="0" fontId="0" fillId="0" borderId="23" xfId="0" applyBorder="1"/>
    <xf numFmtId="0" fontId="0" fillId="6" borderId="23" xfId="0" applyFill="1" applyBorder="1"/>
    <xf numFmtId="0" fontId="0" fillId="0" borderId="24" xfId="0" applyBorder="1"/>
    <xf numFmtId="0" fontId="0" fillId="0" borderId="1" xfId="0" applyBorder="1"/>
    <xf numFmtId="0" fontId="0" fillId="0" borderId="15" xfId="0" applyFill="1" applyBorder="1"/>
    <xf numFmtId="0" fontId="0" fillId="0" borderId="25" xfId="0" applyFill="1" applyBorder="1"/>
    <xf numFmtId="164" fontId="0" fillId="0" borderId="12" xfId="0" applyNumberFormat="1" applyBorder="1"/>
    <xf numFmtId="0" fontId="0" fillId="2" borderId="9" xfId="0" applyFill="1" applyBorder="1"/>
    <xf numFmtId="164" fontId="0" fillId="2" borderId="12" xfId="0" applyNumberFormat="1" applyFill="1" applyBorder="1"/>
    <xf numFmtId="0" fontId="0" fillId="2" borderId="8" xfId="0" applyFill="1" applyBorder="1"/>
    <xf numFmtId="44" fontId="0" fillId="0" borderId="0" xfId="1" applyFont="1" applyBorder="1"/>
    <xf numFmtId="0" fontId="0" fillId="0" borderId="0" xfId="1" applyNumberFormat="1" applyFont="1" applyBorder="1"/>
    <xf numFmtId="164" fontId="0" fillId="5" borderId="3" xfId="0" applyNumberFormat="1" applyFill="1" applyBorder="1" applyAlignment="1">
      <alignment horizontal="right"/>
    </xf>
    <xf numFmtId="0" fontId="0" fillId="0" borderId="15" xfId="0" applyBorder="1" applyAlignment="1">
      <alignment horizontal="left"/>
    </xf>
    <xf numFmtId="0" fontId="0" fillId="0" borderId="26" xfId="0" applyBorder="1"/>
    <xf numFmtId="0" fontId="0" fillId="0" borderId="27" xfId="0" applyFont="1" applyBorder="1"/>
    <xf numFmtId="44" fontId="0" fillId="0" borderId="21" xfId="1" applyFont="1" applyBorder="1"/>
    <xf numFmtId="44" fontId="0" fillId="0" borderId="0" xfId="1" applyNumberFormat="1" applyFont="1" applyBorder="1"/>
    <xf numFmtId="44" fontId="0" fillId="0" borderId="10" xfId="0" applyNumberFormat="1" applyBorder="1"/>
    <xf numFmtId="0" fontId="0" fillId="6" borderId="27" xfId="0" applyFont="1" applyFill="1" applyBorder="1"/>
    <xf numFmtId="44" fontId="0" fillId="6" borderId="0" xfId="1" applyFont="1" applyFill="1" applyBorder="1"/>
    <xf numFmtId="44" fontId="0" fillId="6" borderId="3" xfId="1" applyFont="1" applyFill="1" applyBorder="1"/>
    <xf numFmtId="0" fontId="0" fillId="6" borderId="0" xfId="0" applyNumberFormat="1" applyFill="1" applyBorder="1"/>
    <xf numFmtId="0" fontId="0" fillId="0" borderId="9" xfId="0" applyBorder="1" applyAlignment="1">
      <alignment horizontal="center"/>
    </xf>
    <xf numFmtId="0" fontId="0" fillId="0" borderId="12" xfId="0" applyBorder="1" applyAlignment="1">
      <alignment horizontal="center"/>
    </xf>
    <xf numFmtId="44" fontId="0" fillId="6" borderId="16" xfId="0" applyNumberFormat="1" applyFill="1" applyBorder="1"/>
    <xf numFmtId="44" fontId="0" fillId="0" borderId="16" xfId="0" applyNumberFormat="1" applyBorder="1"/>
    <xf numFmtId="44" fontId="0" fillId="0" borderId="16" xfId="1" applyNumberFormat="1" applyFont="1" applyBorder="1"/>
    <xf numFmtId="44" fontId="0" fillId="0" borderId="22" xfId="0" applyNumberFormat="1" applyBorder="1"/>
    <xf numFmtId="44" fontId="0" fillId="0" borderId="21" xfId="0" applyNumberFormat="1" applyBorder="1"/>
    <xf numFmtId="44" fontId="0" fillId="0" borderId="3" xfId="0" applyNumberFormat="1" applyBorder="1"/>
    <xf numFmtId="44" fontId="0" fillId="6" borderId="0" xfId="0" applyNumberFormat="1" applyFill="1" applyBorder="1"/>
    <xf numFmtId="44" fontId="0" fillId="0" borderId="0" xfId="0" applyNumberFormat="1" applyBorder="1"/>
    <xf numFmtId="44" fontId="0" fillId="0" borderId="22" xfId="1" applyNumberFormat="1" applyFont="1" applyBorder="1"/>
    <xf numFmtId="44" fontId="0" fillId="0" borderId="0" xfId="0" applyNumberFormat="1" applyFill="1"/>
    <xf numFmtId="44" fontId="0" fillId="0" borderId="6" xfId="0" applyNumberFormat="1" applyFill="1" applyBorder="1"/>
    <xf numFmtId="44" fontId="0" fillId="0" borderId="0" xfId="1" applyNumberFormat="1" applyFont="1" applyFill="1"/>
    <xf numFmtId="44" fontId="0" fillId="0" borderId="8" xfId="0" applyNumberFormat="1" applyFill="1" applyBorder="1"/>
    <xf numFmtId="44" fontId="0" fillId="0" borderId="7" xfId="0" applyNumberFormat="1" applyFill="1" applyBorder="1"/>
    <xf numFmtId="44" fontId="0" fillId="0" borderId="0" xfId="0" applyNumberFormat="1"/>
    <xf numFmtId="44" fontId="0" fillId="5" borderId="21" xfId="0" applyNumberFormat="1" applyFill="1" applyBorder="1"/>
    <xf numFmtId="44" fontId="0" fillId="5" borderId="0" xfId="0" applyNumberFormat="1" applyFill="1" applyBorder="1"/>
    <xf numFmtId="44" fontId="0" fillId="5" borderId="11" xfId="0" applyNumberFormat="1" applyFill="1" applyBorder="1"/>
    <xf numFmtId="44" fontId="0" fillId="0" borderId="3" xfId="0" applyNumberFormat="1" applyFill="1" applyBorder="1"/>
    <xf numFmtId="44" fontId="0" fillId="0" borderId="11" xfId="0" applyNumberFormat="1" applyBorder="1"/>
    <xf numFmtId="44" fontId="0" fillId="0" borderId="5" xfId="0" applyNumberFormat="1" applyBorder="1"/>
    <xf numFmtId="0" fontId="0" fillId="0" borderId="15" xfId="0" applyNumberFormat="1" applyFill="1" applyBorder="1"/>
    <xf numFmtId="0" fontId="0" fillId="0" borderId="28" xfId="0" applyFill="1" applyBorder="1"/>
    <xf numFmtId="0" fontId="0" fillId="0" borderId="2" xfId="0" applyFill="1" applyBorder="1"/>
    <xf numFmtId="0" fontId="0" fillId="0" borderId="7" xfId="0" applyFill="1" applyBorder="1"/>
    <xf numFmtId="44" fontId="0" fillId="0" borderId="0" xfId="0" applyNumberFormat="1" applyFill="1" applyBorder="1"/>
    <xf numFmtId="44" fontId="0" fillId="0" borderId="0" xfId="1" applyNumberFormat="1" applyFont="1" applyFill="1" applyBorder="1"/>
    <xf numFmtId="44" fontId="0" fillId="0" borderId="17" xfId="0" applyNumberFormat="1" applyFill="1" applyBorder="1"/>
    <xf numFmtId="0" fontId="0" fillId="2" borderId="2" xfId="0" applyFill="1" applyBorder="1"/>
    <xf numFmtId="0" fontId="0" fillId="0" borderId="19" xfId="0" applyBorder="1"/>
    <xf numFmtId="0" fontId="0" fillId="0" borderId="29" xfId="0" applyFont="1" applyFill="1" applyBorder="1"/>
    <xf numFmtId="0" fontId="0" fillId="0" borderId="11" xfId="0" applyFill="1" applyBorder="1"/>
    <xf numFmtId="0" fontId="0" fillId="0" borderId="4" xfId="0" applyFill="1" applyBorder="1"/>
    <xf numFmtId="0" fontId="0" fillId="0" borderId="5" xfId="0" applyFill="1" applyBorder="1"/>
    <xf numFmtId="0" fontId="0" fillId="0" borderId="21" xfId="0" applyBorder="1" applyAlignment="1">
      <alignment horizontal="center"/>
    </xf>
    <xf numFmtId="0" fontId="5" fillId="11" borderId="30" xfId="0" applyFont="1" applyFill="1" applyBorder="1" applyAlignment="1">
      <alignment horizontal="center" wrapText="1"/>
    </xf>
    <xf numFmtId="0" fontId="5" fillId="11" borderId="32" xfId="0" applyFont="1" applyFill="1" applyBorder="1" applyAlignment="1">
      <alignment horizontal="center" wrapText="1"/>
    </xf>
    <xf numFmtId="0" fontId="5" fillId="11" borderId="31" xfId="0" applyFont="1" applyFill="1" applyBorder="1" applyAlignment="1">
      <alignment horizontal="center" wrapText="1"/>
    </xf>
    <xf numFmtId="0" fontId="4" fillId="8" borderId="30" xfId="0" applyFont="1" applyFill="1" applyBorder="1" applyAlignment="1">
      <alignment horizontal="left" vertical="center" wrapText="1" indent="1"/>
    </xf>
    <xf numFmtId="0" fontId="3" fillId="8" borderId="31" xfId="0" applyFont="1" applyFill="1" applyBorder="1" applyAlignment="1">
      <alignment horizontal="left" vertical="center" wrapText="1" indent="1"/>
    </xf>
    <xf numFmtId="0" fontId="4" fillId="7" borderId="30" xfId="0" applyFont="1" applyFill="1" applyBorder="1" applyAlignment="1">
      <alignment horizontal="left" vertical="center" wrapText="1" indent="1"/>
    </xf>
    <xf numFmtId="0" fontId="3" fillId="7" borderId="31" xfId="0" applyFont="1" applyFill="1" applyBorder="1" applyAlignment="1">
      <alignment horizontal="left" vertical="center" wrapText="1" indent="1"/>
    </xf>
    <xf numFmtId="0" fontId="0" fillId="0" borderId="12" xfId="0" applyBorder="1" applyAlignment="1"/>
    <xf numFmtId="164" fontId="0" fillId="0" borderId="0" xfId="0" applyNumberFormat="1" applyFill="1"/>
    <xf numFmtId="0" fontId="0" fillId="2" borderId="34" xfId="0" applyFill="1" applyBorder="1"/>
    <xf numFmtId="0" fontId="0" fillId="0" borderId="34" xfId="0" applyFill="1" applyBorder="1"/>
    <xf numFmtId="164" fontId="0" fillId="0" borderId="34" xfId="0" applyNumberFormat="1" applyFill="1" applyBorder="1"/>
    <xf numFmtId="164" fontId="0" fillId="0" borderId="0" xfId="0" applyNumberFormat="1" applyFill="1" applyBorder="1"/>
    <xf numFmtId="0" fontId="0" fillId="0" borderId="35" xfId="0" applyFill="1" applyBorder="1"/>
    <xf numFmtId="0" fontId="0" fillId="0" borderId="16" xfId="0" applyBorder="1"/>
    <xf numFmtId="0" fontId="0" fillId="0" borderId="36" xfId="0" applyFill="1" applyBorder="1"/>
    <xf numFmtId="0" fontId="0" fillId="0" borderId="37" xfId="0" applyFill="1" applyBorder="1"/>
    <xf numFmtId="164" fontId="0" fillId="0" borderId="38" xfId="0" applyNumberFormat="1" applyFill="1" applyBorder="1"/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1" xfId="0" applyFill="1" applyBorder="1"/>
    <xf numFmtId="0" fontId="0" fillId="0" borderId="36" xfId="0" applyBorder="1"/>
    <xf numFmtId="44" fontId="0" fillId="0" borderId="17" xfId="0" applyNumberFormat="1" applyBorder="1"/>
    <xf numFmtId="44" fontId="0" fillId="0" borderId="14" xfId="0" applyNumberFormat="1" applyFill="1" applyBorder="1"/>
    <xf numFmtId="44" fontId="0" fillId="0" borderId="2" xfId="0" applyNumberFormat="1" applyBorder="1"/>
    <xf numFmtId="44" fontId="0" fillId="0" borderId="1" xfId="0" applyNumberFormat="1" applyBorder="1"/>
    <xf numFmtId="44" fontId="0" fillId="2" borderId="0" xfId="0" applyNumberFormat="1" applyFill="1"/>
    <xf numFmtId="14" fontId="0" fillId="2" borderId="0" xfId="0" applyNumberFormat="1" applyFill="1"/>
    <xf numFmtId="0" fontId="0" fillId="0" borderId="2" xfId="0" applyBorder="1" applyAlignment="1">
      <alignment horizontal="right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6" borderId="4" xfId="0" applyFill="1" applyBorder="1"/>
    <xf numFmtId="0" fontId="0" fillId="6" borderId="11" xfId="0" applyFill="1" applyBorder="1"/>
    <xf numFmtId="0" fontId="0" fillId="6" borderId="5" xfId="0" applyFill="1" applyBorder="1"/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14" fontId="0" fillId="0" borderId="2" xfId="0" applyNumberFormat="1" applyBorder="1"/>
    <xf numFmtId="14" fontId="0" fillId="0" borderId="0" xfId="0" applyNumberFormat="1" applyBorder="1"/>
    <xf numFmtId="14" fontId="0" fillId="6" borderId="11" xfId="0" applyNumberFormat="1" applyFill="1" applyBorder="1"/>
    <xf numFmtId="44" fontId="0" fillId="6" borderId="5" xfId="0" applyNumberFormat="1" applyFill="1" applyBorder="1"/>
    <xf numFmtId="0" fontId="0" fillId="0" borderId="9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3" borderId="2" xfId="0" applyFill="1" applyBorder="1"/>
    <xf numFmtId="0" fontId="0" fillId="3" borderId="0" xfId="0" applyFill="1" applyBorder="1"/>
    <xf numFmtId="0" fontId="0" fillId="3" borderId="3" xfId="0" applyFill="1" applyBorder="1"/>
    <xf numFmtId="0" fontId="0" fillId="0" borderId="0" xfId="0" applyBorder="1" applyAlignment="1"/>
    <xf numFmtId="0" fontId="0" fillId="0" borderId="21" xfId="0" applyFill="1" applyBorder="1"/>
    <xf numFmtId="0" fontId="6" fillId="5" borderId="0" xfId="0" applyFont="1" applyFill="1" applyBorder="1"/>
    <xf numFmtId="44" fontId="0" fillId="5" borderId="3" xfId="0" applyNumberFormat="1" applyFill="1" applyBorder="1" applyAlignment="1">
      <alignment vertical="center"/>
    </xf>
    <xf numFmtId="44" fontId="0" fillId="5" borderId="3" xfId="0" applyNumberFormat="1" applyFill="1" applyBorder="1"/>
    <xf numFmtId="0" fontId="0" fillId="5" borderId="0" xfId="0" applyFill="1" applyBorder="1" applyAlignment="1">
      <alignment vertical="center"/>
    </xf>
    <xf numFmtId="0" fontId="0" fillId="5" borderId="0" xfId="0" applyFill="1" applyBorder="1"/>
    <xf numFmtId="44" fontId="0" fillId="0" borderId="9" xfId="0" applyNumberFormat="1" applyBorder="1"/>
    <xf numFmtId="44" fontId="0" fillId="0" borderId="0" xfId="0" applyNumberFormat="1" applyAlignment="1"/>
    <xf numFmtId="44" fontId="0" fillId="4" borderId="2" xfId="1" applyFont="1" applyFill="1" applyBorder="1"/>
    <xf numFmtId="44" fontId="8" fillId="4" borderId="3" xfId="1" applyFont="1" applyFill="1" applyBorder="1"/>
    <xf numFmtId="44" fontId="8" fillId="0" borderId="2" xfId="1" applyFont="1" applyBorder="1"/>
    <xf numFmtId="44" fontId="0" fillId="0" borderId="10" xfId="0" applyNumberFormat="1" applyFill="1" applyBorder="1"/>
    <xf numFmtId="0" fontId="0" fillId="0" borderId="0" xfId="0" applyAlignment="1"/>
    <xf numFmtId="0" fontId="0" fillId="0" borderId="0" xfId="0" applyBorder="1" applyAlignment="1">
      <alignment vertical="top" wrapText="1"/>
    </xf>
    <xf numFmtId="0" fontId="0" fillId="0" borderId="44" xfId="0" applyBorder="1"/>
    <xf numFmtId="0" fontId="0" fillId="6" borderId="4" xfId="0" applyFill="1" applyBorder="1" applyAlignment="1">
      <alignment horizontal="center"/>
    </xf>
    <xf numFmtId="0" fontId="0" fillId="6" borderId="11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6" borderId="0" xfId="0" applyFill="1"/>
    <xf numFmtId="0" fontId="0" fillId="6" borderId="0" xfId="1" applyNumberFormat="1" applyFont="1" applyFill="1" applyBorder="1"/>
    <xf numFmtId="0" fontId="0" fillId="6" borderId="4" xfId="0" applyNumberFormat="1" applyFill="1" applyBorder="1"/>
    <xf numFmtId="0" fontId="0" fillId="6" borderId="19" xfId="0" applyFill="1" applyBorder="1"/>
    <xf numFmtId="0" fontId="0" fillId="0" borderId="0" xfId="0" applyNumberFormat="1" applyBorder="1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0" fillId="3" borderId="9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12" borderId="0" xfId="0" applyFill="1" applyAlignment="1">
      <alignment horizontal="center"/>
    </xf>
    <xf numFmtId="0" fontId="8" fillId="0" borderId="0" xfId="0" applyFont="1" applyAlignment="1">
      <alignment horizontal="center"/>
    </xf>
    <xf numFmtId="44" fontId="0" fillId="0" borderId="11" xfId="0" applyNumberFormat="1" applyFill="1" applyBorder="1" applyAlignment="1"/>
    <xf numFmtId="44" fontId="0" fillId="0" borderId="5" xfId="0" applyNumberFormat="1" applyFill="1" applyBorder="1" applyAlignment="1"/>
    <xf numFmtId="0" fontId="0" fillId="4" borderId="0" xfId="0" applyFill="1" applyAlignment="1">
      <alignment horizontal="center"/>
    </xf>
    <xf numFmtId="0" fontId="7" fillId="5" borderId="0" xfId="0" applyFont="1" applyFill="1" applyBorder="1" applyAlignment="1">
      <alignment horizontal="center"/>
    </xf>
    <xf numFmtId="0" fontId="0" fillId="13" borderId="0" xfId="0" applyFill="1" applyAlignment="1">
      <alignment horizontal="center"/>
    </xf>
    <xf numFmtId="0" fontId="0" fillId="0" borderId="0" xfId="0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13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Border="1" applyAlignment="1">
      <alignment horizontal="left" vertical="top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3" fillId="4" borderId="30" xfId="0" applyFont="1" applyFill="1" applyBorder="1" applyAlignment="1">
      <alignment horizontal="center" vertical="center" wrapText="1"/>
    </xf>
    <xf numFmtId="0" fontId="3" fillId="4" borderId="31" xfId="0" applyFont="1" applyFill="1" applyBorder="1" applyAlignment="1">
      <alignment horizontal="center" vertical="center" wrapText="1"/>
    </xf>
    <xf numFmtId="0" fontId="3" fillId="7" borderId="30" xfId="0" applyFont="1" applyFill="1" applyBorder="1" applyAlignment="1">
      <alignment horizontal="center" vertical="center" wrapText="1"/>
    </xf>
    <xf numFmtId="0" fontId="3" fillId="7" borderId="31" xfId="0" applyFont="1" applyFill="1" applyBorder="1" applyAlignment="1">
      <alignment horizontal="center" vertical="center" wrapText="1"/>
    </xf>
    <xf numFmtId="0" fontId="3" fillId="8" borderId="30" xfId="0" applyFont="1" applyFill="1" applyBorder="1" applyAlignment="1">
      <alignment horizontal="center" vertical="center" wrapText="1"/>
    </xf>
    <xf numFmtId="0" fontId="3" fillId="8" borderId="31" xfId="0" applyFont="1" applyFill="1" applyBorder="1" applyAlignment="1">
      <alignment horizontal="center" vertical="center" wrapText="1"/>
    </xf>
    <xf numFmtId="14" fontId="3" fillId="10" borderId="30" xfId="0" applyNumberFormat="1" applyFont="1" applyFill="1" applyBorder="1" applyAlignment="1">
      <alignment horizontal="center" vertical="center" wrapText="1"/>
    </xf>
    <xf numFmtId="14" fontId="3" fillId="10" borderId="31" xfId="0" applyNumberFormat="1" applyFont="1" applyFill="1" applyBorder="1" applyAlignment="1">
      <alignment horizontal="center" vertical="center" wrapText="1"/>
    </xf>
    <xf numFmtId="14" fontId="3" fillId="9" borderId="30" xfId="0" applyNumberFormat="1" applyFont="1" applyFill="1" applyBorder="1" applyAlignment="1">
      <alignment horizontal="center" vertical="center" wrapText="1"/>
    </xf>
    <xf numFmtId="14" fontId="3" fillId="9" borderId="31" xfId="0" applyNumberFormat="1" applyFont="1" applyFill="1" applyBorder="1" applyAlignment="1">
      <alignment horizontal="center" vertical="center" wrapText="1"/>
    </xf>
    <xf numFmtId="0" fontId="5" fillId="11" borderId="32" xfId="0" applyFont="1" applyFill="1" applyBorder="1" applyAlignment="1">
      <alignment horizontal="center" wrapText="1"/>
    </xf>
    <xf numFmtId="0" fontId="5" fillId="11" borderId="31" xfId="0" applyFont="1" applyFill="1" applyBorder="1" applyAlignment="1">
      <alignment horizontal="center" wrapText="1"/>
    </xf>
    <xf numFmtId="0" fontId="5" fillId="11" borderId="30" xfId="0" applyFont="1" applyFill="1" applyBorder="1" applyAlignment="1">
      <alignment horizontal="center" wrapText="1"/>
    </xf>
    <xf numFmtId="0" fontId="0" fillId="0" borderId="13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3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2">
    <cellStyle name="Currency" xfId="1" builtinId="4"/>
    <cellStyle name="Normal" xfId="0" builtinId="0"/>
  </cellStyles>
  <dxfs count="36"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FF61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6B7F7-5357-4A3A-8FB4-74E323C68225}">
  <dimension ref="A1:M26"/>
  <sheetViews>
    <sheetView workbookViewId="0">
      <selection activeCell="J9" sqref="J9"/>
    </sheetView>
  </sheetViews>
  <sheetFormatPr defaultRowHeight="15"/>
  <cols>
    <col min="1" max="1" width="17.28515625" customWidth="1"/>
    <col min="2" max="2" width="12.42578125" customWidth="1"/>
    <col min="3" max="3" width="12.5703125" customWidth="1"/>
    <col min="4" max="4" width="12.85546875" customWidth="1"/>
    <col min="5" max="5" width="12.140625" customWidth="1"/>
    <col min="8" max="8" width="24.5703125" customWidth="1"/>
    <col min="9" max="9" width="12.7109375" customWidth="1"/>
    <col min="10" max="10" width="12.140625" bestFit="1" customWidth="1"/>
    <col min="11" max="11" width="12.7109375" customWidth="1"/>
  </cols>
  <sheetData>
    <row r="1" spans="1:13" ht="15.75" thickBot="1">
      <c r="A1" s="203" t="s">
        <v>137</v>
      </c>
      <c r="B1" s="203"/>
      <c r="C1" s="203"/>
      <c r="D1" s="203"/>
      <c r="E1" s="203"/>
      <c r="H1" s="197" t="s">
        <v>138</v>
      </c>
      <c r="I1" s="198"/>
      <c r="J1" s="199"/>
    </row>
    <row r="2" spans="1:13" ht="15.75" thickBot="1">
      <c r="A2" s="7"/>
      <c r="B2" s="195" t="s">
        <v>6</v>
      </c>
      <c r="C2" s="196"/>
      <c r="D2" s="195" t="s">
        <v>7</v>
      </c>
      <c r="E2" s="196"/>
      <c r="H2" s="200" t="s">
        <v>135</v>
      </c>
      <c r="I2" s="201"/>
      <c r="J2" s="202"/>
    </row>
    <row r="3" spans="1:13" ht="15.75" thickBot="1">
      <c r="A3" s="8"/>
      <c r="B3" s="9">
        <v>2019</v>
      </c>
      <c r="C3" s="10">
        <v>2020</v>
      </c>
      <c r="D3" s="9">
        <v>2019</v>
      </c>
      <c r="E3" s="10">
        <v>2020</v>
      </c>
      <c r="H3" s="162"/>
      <c r="I3" s="164" t="s">
        <v>93</v>
      </c>
      <c r="J3" s="165" t="s">
        <v>6</v>
      </c>
    </row>
    <row r="4" spans="1:13">
      <c r="A4" s="5" t="s">
        <v>0</v>
      </c>
      <c r="B4" s="178">
        <v>361578</v>
      </c>
      <c r="C4" s="179">
        <v>50000</v>
      </c>
      <c r="D4" s="11"/>
      <c r="E4" s="12"/>
      <c r="H4" s="1" t="s">
        <v>10</v>
      </c>
      <c r="I4" s="90">
        <f>'Monthly outlook'!P40+'Monthly outlook'!Y34+'Monthly outlook'!P5</f>
        <v>88746.659999999989</v>
      </c>
      <c r="J4" s="2"/>
    </row>
    <row r="5" spans="1:13">
      <c r="A5" s="5" t="s">
        <v>1</v>
      </c>
      <c r="B5" s="178">
        <v>6750</v>
      </c>
      <c r="C5" s="12">
        <v>0</v>
      </c>
      <c r="D5" s="11"/>
      <c r="E5" s="12"/>
      <c r="H5" s="1" t="s">
        <v>11</v>
      </c>
      <c r="I5" s="90">
        <f>SUMIF('Preseason setup expenses'!B3:B10,"First Aid",'Preseason setup expenses'!G3:G10)+SUMIF('Preseason setup expenses'!B19:B30,"First Aid",'Preseason setup expenses'!G19:G30)</f>
        <v>1872.6</v>
      </c>
      <c r="J5" s="2"/>
    </row>
    <row r="6" spans="1:13">
      <c r="A6" s="5" t="s">
        <v>2</v>
      </c>
      <c r="B6" s="178">
        <v>2150</v>
      </c>
      <c r="C6" s="12">
        <v>0</v>
      </c>
      <c r="D6" s="11"/>
      <c r="E6" s="12"/>
      <c r="H6" s="1" t="s">
        <v>12</v>
      </c>
      <c r="I6" s="171"/>
      <c r="J6" s="2"/>
    </row>
    <row r="7" spans="1:13">
      <c r="A7" s="5" t="s">
        <v>3</v>
      </c>
      <c r="B7" s="178">
        <v>12600</v>
      </c>
      <c r="C7" s="12">
        <v>0</v>
      </c>
      <c r="D7" s="11"/>
      <c r="E7" s="12"/>
      <c r="H7" s="1" t="s">
        <v>13</v>
      </c>
      <c r="I7" s="90">
        <f>('Preseason setup expenses'!G15+'Preseason setup expenses'!G35)-(Main!I5+SUMIF('Preseason setup expenses'!B19:B30,"Cleaning",'Preseason setup expenses'!G19:G30))</f>
        <v>6982.73</v>
      </c>
      <c r="J7" s="2"/>
    </row>
    <row r="8" spans="1:13">
      <c r="A8" s="5" t="s">
        <v>4</v>
      </c>
      <c r="B8" s="20"/>
      <c r="C8" s="21">
        <v>0</v>
      </c>
      <c r="D8" s="11"/>
      <c r="E8" s="12"/>
      <c r="H8" s="1" t="s">
        <v>136</v>
      </c>
      <c r="I8" s="22"/>
      <c r="J8" s="88">
        <f>'Monthly outlook'!O40+'Monthly outlook'!X34+'Monthly outlook'!O5</f>
        <v>71423.579999999987</v>
      </c>
    </row>
    <row r="9" spans="1:13">
      <c r="A9" s="5" t="s">
        <v>5</v>
      </c>
      <c r="B9" s="20"/>
      <c r="C9" s="12">
        <v>0</v>
      </c>
      <c r="D9" s="11"/>
      <c r="E9" s="12"/>
      <c r="H9" s="166"/>
      <c r="I9" s="167"/>
      <c r="J9" s="168"/>
    </row>
    <row r="10" spans="1:13">
      <c r="A10" s="17"/>
      <c r="B10" s="18"/>
      <c r="C10" s="19"/>
      <c r="D10" s="18"/>
      <c r="E10" s="19"/>
      <c r="H10" s="1" t="s">
        <v>23</v>
      </c>
      <c r="I10" s="90">
        <f>SUM(I4:I9)</f>
        <v>97601.989999999991</v>
      </c>
      <c r="J10" s="88">
        <f>SUM(J4:J9)</f>
        <v>71423.579999999987</v>
      </c>
    </row>
    <row r="11" spans="1:13">
      <c r="A11" s="5" t="s">
        <v>8</v>
      </c>
      <c r="B11" s="11"/>
      <c r="C11" s="12"/>
      <c r="D11" s="178">
        <v>145707.46</v>
      </c>
      <c r="E11" s="179">
        <v>79000</v>
      </c>
      <c r="H11" s="166"/>
      <c r="I11" s="167"/>
      <c r="J11" s="168"/>
    </row>
    <row r="12" spans="1:13" ht="15" customHeight="1" thickBot="1">
      <c r="A12" s="5" t="s">
        <v>9</v>
      </c>
      <c r="B12" s="11"/>
      <c r="C12" s="12"/>
      <c r="D12" s="178">
        <v>96805.48</v>
      </c>
      <c r="E12" s="179">
        <v>59500</v>
      </c>
      <c r="H12" s="115" t="s">
        <v>154</v>
      </c>
      <c r="I12" s="206">
        <f>-I10+J10</f>
        <v>-26178.410000000003</v>
      </c>
      <c r="J12" s="207"/>
      <c r="L12" s="194" t="s">
        <v>155</v>
      </c>
      <c r="M12" s="194"/>
    </row>
    <row r="13" spans="1:13">
      <c r="A13" s="8"/>
      <c r="B13" s="15"/>
      <c r="C13" s="16"/>
      <c r="D13" s="15"/>
      <c r="E13" s="16"/>
      <c r="H13" s="170"/>
      <c r="I13" s="37"/>
      <c r="J13" s="170"/>
      <c r="K13" s="193"/>
      <c r="L13" s="194"/>
      <c r="M13" s="194"/>
    </row>
    <row r="14" spans="1:13">
      <c r="A14" s="5"/>
      <c r="B14" s="11">
        <f>SUM(B4:B7)-SUM(D11:D12)</f>
        <v>140565.06</v>
      </c>
      <c r="C14" s="180">
        <f>SUM(C4:C9)-SUM(E11:E12)</f>
        <v>-88500</v>
      </c>
      <c r="D14" s="11"/>
      <c r="E14" s="12"/>
      <c r="G14" s="22"/>
      <c r="H14" s="22"/>
      <c r="I14" s="22"/>
      <c r="J14" s="22"/>
      <c r="K14" s="193"/>
      <c r="L14" s="194"/>
      <c r="M14" s="194"/>
    </row>
    <row r="15" spans="1:13">
      <c r="A15" s="5"/>
      <c r="B15" s="11"/>
      <c r="C15" s="12"/>
      <c r="D15" s="11"/>
      <c r="E15" s="12"/>
      <c r="G15" s="22"/>
      <c r="H15" s="22"/>
      <c r="I15" s="22"/>
      <c r="J15" s="22"/>
      <c r="K15" s="193"/>
      <c r="L15" s="194"/>
      <c r="M15" s="194"/>
    </row>
    <row r="16" spans="1:13">
      <c r="A16" s="5"/>
      <c r="B16" s="11"/>
      <c r="C16" s="12"/>
      <c r="D16" s="11"/>
      <c r="E16" s="12"/>
      <c r="G16" s="22"/>
      <c r="H16" s="22"/>
      <c r="I16" s="22"/>
      <c r="J16" s="22"/>
      <c r="K16" s="193"/>
      <c r="L16" s="194"/>
      <c r="M16" s="194"/>
    </row>
    <row r="17" spans="1:10">
      <c r="A17" s="5"/>
      <c r="B17" s="11"/>
      <c r="C17" s="12"/>
      <c r="D17" s="11"/>
      <c r="E17" s="12"/>
      <c r="G17" s="22"/>
      <c r="H17" s="22"/>
      <c r="I17" s="22"/>
      <c r="J17" s="22"/>
    </row>
    <row r="18" spans="1:10">
      <c r="A18" s="5"/>
      <c r="B18" s="11"/>
      <c r="C18" s="12"/>
      <c r="D18" s="11"/>
      <c r="E18" s="12"/>
      <c r="G18" s="22"/>
      <c r="H18" s="209" t="s">
        <v>141</v>
      </c>
      <c r="I18" s="209"/>
      <c r="J18" s="209"/>
    </row>
    <row r="19" spans="1:10">
      <c r="A19" s="5"/>
      <c r="B19" s="11"/>
      <c r="C19" s="12"/>
      <c r="D19" s="11"/>
      <c r="E19" s="12"/>
      <c r="H19" s="208" t="s">
        <v>142</v>
      </c>
      <c r="I19" s="208"/>
      <c r="J19" s="208"/>
    </row>
    <row r="20" spans="1:10">
      <c r="A20" s="5"/>
      <c r="B20" s="11"/>
      <c r="C20" s="12"/>
      <c r="D20" s="11"/>
      <c r="E20" s="12"/>
      <c r="H20" s="210" t="s">
        <v>144</v>
      </c>
      <c r="I20" s="210"/>
      <c r="J20" s="210"/>
    </row>
    <row r="21" spans="1:10">
      <c r="A21" s="5"/>
      <c r="B21" s="11"/>
      <c r="C21" s="12"/>
      <c r="D21" s="11"/>
      <c r="E21" s="12"/>
      <c r="H21" s="204" t="s">
        <v>143</v>
      </c>
      <c r="I21" s="204"/>
      <c r="J21" s="204"/>
    </row>
    <row r="22" spans="1:10">
      <c r="A22" s="5"/>
      <c r="B22" s="11"/>
      <c r="C22" s="12"/>
      <c r="D22" s="11"/>
      <c r="E22" s="12"/>
      <c r="H22" s="205" t="s">
        <v>153</v>
      </c>
      <c r="I22" s="205"/>
      <c r="J22" s="205"/>
    </row>
    <row r="23" spans="1:10">
      <c r="A23" s="5"/>
      <c r="B23" s="11"/>
      <c r="C23" s="12"/>
      <c r="D23" s="11"/>
      <c r="E23" s="12"/>
    </row>
    <row r="24" spans="1:10">
      <c r="A24" s="5"/>
      <c r="B24" s="11"/>
      <c r="C24" s="12"/>
      <c r="D24" s="11"/>
      <c r="E24" s="12"/>
    </row>
    <row r="25" spans="1:10">
      <c r="A25" s="5"/>
      <c r="B25" s="11"/>
      <c r="C25" s="12"/>
      <c r="D25" s="11"/>
      <c r="E25" s="12"/>
    </row>
    <row r="26" spans="1:10" ht="15.75" thickBot="1">
      <c r="A26" s="6"/>
      <c r="B26" s="13"/>
      <c r="C26" s="14"/>
      <c r="D26" s="13"/>
      <c r="E26" s="14"/>
    </row>
  </sheetData>
  <mergeCells count="12">
    <mergeCell ref="H21:J21"/>
    <mergeCell ref="H22:J22"/>
    <mergeCell ref="I12:J12"/>
    <mergeCell ref="H19:J19"/>
    <mergeCell ref="H18:J18"/>
    <mergeCell ref="H20:J20"/>
    <mergeCell ref="L12:M16"/>
    <mergeCell ref="B2:C2"/>
    <mergeCell ref="D2:E2"/>
    <mergeCell ref="H1:J1"/>
    <mergeCell ref="H2:J2"/>
    <mergeCell ref="A1:E1"/>
  </mergeCells>
  <conditionalFormatting sqref="B14:C14">
    <cfRule type="cellIs" dxfId="35" priority="3" operator="greaterThan">
      <formula>0</formula>
    </cfRule>
    <cfRule type="cellIs" dxfId="34" priority="4" operator="lessThan">
      <formula>0</formula>
    </cfRule>
  </conditionalFormatting>
  <conditionalFormatting sqref="I12">
    <cfRule type="cellIs" dxfId="33" priority="1" operator="greaterThan">
      <formula>0</formula>
    </cfRule>
    <cfRule type="cellIs" dxfId="32" priority="2" operator="lessThan">
      <formula>0</formula>
    </cfRule>
  </conditionalFormatting>
  <pageMargins left="0.7" right="0.7" top="0.75" bottom="0.75" header="0.3" footer="0.3"/>
  <pageSetup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1A3D9-FFB9-446E-9806-4CE5CC533677}">
  <dimension ref="A1:AJ1048576"/>
  <sheetViews>
    <sheetView tabSelected="1" topLeftCell="J8" zoomScale="70" zoomScaleNormal="70" workbookViewId="0">
      <selection activeCell="O6" sqref="O6"/>
    </sheetView>
  </sheetViews>
  <sheetFormatPr defaultRowHeight="15"/>
  <cols>
    <col min="2" max="8" width="15.7109375" customWidth="1"/>
    <col min="11" max="11" width="10.85546875" customWidth="1"/>
    <col min="13" max="13" width="11.5703125" customWidth="1"/>
    <col min="14" max="14" width="11.140625" customWidth="1"/>
    <col min="15" max="16" width="12.7109375" customWidth="1"/>
    <col min="18" max="18" width="16.28515625" customWidth="1"/>
    <col min="19" max="19" width="2.7109375" customWidth="1"/>
    <col min="22" max="22" width="11.5703125" customWidth="1"/>
    <col min="23" max="23" width="11.42578125" customWidth="1"/>
    <col min="24" max="24" width="13.28515625" customWidth="1"/>
    <col min="25" max="25" width="12.28515625" customWidth="1"/>
    <col min="27" max="27" width="15.28515625" customWidth="1"/>
    <col min="28" max="28" width="2.7109375" customWidth="1"/>
    <col min="31" max="31" width="12" customWidth="1"/>
    <col min="32" max="32" width="11.28515625" customWidth="1"/>
    <col min="33" max="33" width="13.42578125" customWidth="1"/>
    <col min="34" max="34" width="11.7109375" customWidth="1"/>
    <col min="36" max="36" width="17.28515625" customWidth="1"/>
  </cols>
  <sheetData>
    <row r="1" spans="1:36" ht="15.75" thickBot="1">
      <c r="A1" s="25"/>
      <c r="B1" s="213" t="s">
        <v>55</v>
      </c>
      <c r="C1" s="214"/>
      <c r="D1" s="214"/>
      <c r="E1" s="214"/>
      <c r="F1" s="214"/>
      <c r="G1" s="214"/>
      <c r="H1" s="215"/>
      <c r="I1" s="25"/>
      <c r="K1" s="217" t="s">
        <v>156</v>
      </c>
      <c r="L1" s="217"/>
      <c r="M1" s="217"/>
      <c r="N1" s="217"/>
      <c r="O1" s="217"/>
      <c r="P1" s="217"/>
      <c r="Q1" s="217"/>
      <c r="R1" s="217"/>
      <c r="T1" s="197" t="s">
        <v>56</v>
      </c>
      <c r="U1" s="198"/>
      <c r="V1" s="198"/>
      <c r="W1" s="198"/>
      <c r="X1" s="198"/>
      <c r="Y1" s="198"/>
      <c r="Z1" s="198"/>
      <c r="AA1" s="199"/>
      <c r="AB1" s="117"/>
      <c r="AC1" s="197" t="s">
        <v>57</v>
      </c>
      <c r="AD1" s="198"/>
      <c r="AE1" s="198"/>
      <c r="AF1" s="198"/>
      <c r="AG1" s="198"/>
      <c r="AH1" s="198"/>
      <c r="AI1" s="198"/>
      <c r="AJ1" s="199"/>
    </row>
    <row r="2" spans="1:36" ht="15" customHeight="1" thickBot="1">
      <c r="A2" s="25"/>
      <c r="B2" s="3" t="s">
        <v>48</v>
      </c>
      <c r="C2" s="23" t="s">
        <v>49</v>
      </c>
      <c r="D2" s="23" t="s">
        <v>50</v>
      </c>
      <c r="E2" s="23" t="s">
        <v>51</v>
      </c>
      <c r="F2" s="23" t="s">
        <v>52</v>
      </c>
      <c r="G2" s="23" t="s">
        <v>53</v>
      </c>
      <c r="H2" s="4" t="s">
        <v>54</v>
      </c>
      <c r="I2" s="25"/>
      <c r="K2" s="160" t="s">
        <v>86</v>
      </c>
      <c r="L2" s="161" t="s">
        <v>85</v>
      </c>
      <c r="M2" s="34" t="s">
        <v>84</v>
      </c>
      <c r="N2" s="34" t="s">
        <v>87</v>
      </c>
      <c r="O2" s="34" t="s">
        <v>6</v>
      </c>
      <c r="P2" s="34" t="s">
        <v>38</v>
      </c>
      <c r="Q2" s="34" t="s">
        <v>88</v>
      </c>
      <c r="R2" s="33" t="s">
        <v>89</v>
      </c>
      <c r="T2" s="81" t="s">
        <v>86</v>
      </c>
      <c r="U2" s="82" t="s">
        <v>85</v>
      </c>
      <c r="V2" s="34" t="s">
        <v>84</v>
      </c>
      <c r="W2" s="34" t="s">
        <v>87</v>
      </c>
      <c r="X2" s="34" t="s">
        <v>6</v>
      </c>
      <c r="Y2" s="34" t="s">
        <v>38</v>
      </c>
      <c r="Z2" s="34" t="s">
        <v>88</v>
      </c>
      <c r="AA2" s="33" t="s">
        <v>89</v>
      </c>
      <c r="AB2" s="5"/>
      <c r="AC2" s="81" t="s">
        <v>86</v>
      </c>
      <c r="AD2" s="82" t="s">
        <v>85</v>
      </c>
      <c r="AE2" s="34" t="s">
        <v>84</v>
      </c>
      <c r="AF2" s="34" t="s">
        <v>87</v>
      </c>
      <c r="AG2" s="34" t="s">
        <v>6</v>
      </c>
      <c r="AH2" s="34" t="s">
        <v>38</v>
      </c>
      <c r="AI2" s="34" t="s">
        <v>88</v>
      </c>
      <c r="AJ2" s="33" t="s">
        <v>89</v>
      </c>
    </row>
    <row r="3" spans="1:36" ht="15" customHeight="1">
      <c r="A3" s="25"/>
      <c r="B3" s="212"/>
      <c r="C3" s="212"/>
      <c r="D3" s="212"/>
      <c r="E3" s="212">
        <v>1</v>
      </c>
      <c r="F3" s="212">
        <v>2</v>
      </c>
      <c r="G3" s="212">
        <v>3</v>
      </c>
      <c r="H3" s="212">
        <v>4</v>
      </c>
      <c r="I3" s="25"/>
      <c r="K3" t="s">
        <v>63</v>
      </c>
      <c r="L3">
        <v>29</v>
      </c>
      <c r="M3" t="s">
        <v>149</v>
      </c>
      <c r="N3" t="s">
        <v>149</v>
      </c>
      <c r="O3" s="97">
        <f>'Daily Income-Daily Pass'!$Q$14</f>
        <v>576</v>
      </c>
      <c r="P3" s="97">
        <f>'Salaries and Daily Costs'!$S$8</f>
        <v>536.22</v>
      </c>
      <c r="R3" s="88">
        <f>O3-(P3+Q3)</f>
        <v>39.779999999999973</v>
      </c>
      <c r="T3" s="1" t="s">
        <v>61</v>
      </c>
      <c r="U3" s="22">
        <v>1</v>
      </c>
      <c r="V3" s="22">
        <f>'2019 Weather'!Q5</f>
        <v>81.25</v>
      </c>
      <c r="W3" s="22">
        <v>0.9</v>
      </c>
      <c r="X3" s="90">
        <f>('Daily Income-Daily Pass'!$Q$25-480)*W3*(V3/100)+480</f>
        <v>1503.75</v>
      </c>
      <c r="Y3" s="90">
        <f>'Salaries and Daily Costs'!$S$26</f>
        <v>1719.45</v>
      </c>
      <c r="Z3" s="22"/>
      <c r="AA3" s="88">
        <f>X3-(Y3+Z3)</f>
        <v>-215.70000000000005</v>
      </c>
      <c r="AB3" s="90"/>
      <c r="AC3" s="1" t="s">
        <v>58</v>
      </c>
      <c r="AD3" s="22">
        <v>1</v>
      </c>
      <c r="AE3" s="22">
        <f>'2019 Weather'!Z5</f>
        <v>47.5</v>
      </c>
      <c r="AF3" s="22">
        <v>0.9</v>
      </c>
      <c r="AG3" s="90">
        <f>('Daily Income-Daily Pass'!$Q$25-480)*AF3*(AE3/100)+480</f>
        <v>1078.5</v>
      </c>
      <c r="AH3" s="90">
        <f>'Salaries and Daily Costs'!$S$26</f>
        <v>1719.45</v>
      </c>
      <c r="AI3" s="22"/>
      <c r="AJ3" s="88">
        <f>AG3-(AH3+AI3)</f>
        <v>-640.95000000000005</v>
      </c>
    </row>
    <row r="4" spans="1:36" ht="15" customHeight="1" thickBot="1">
      <c r="A4" s="25"/>
      <c r="B4" s="211"/>
      <c r="C4" s="211"/>
      <c r="D4" s="211"/>
      <c r="E4" s="211"/>
      <c r="F4" s="216"/>
      <c r="G4" s="211"/>
      <c r="H4" s="216"/>
      <c r="I4" s="25"/>
      <c r="K4" t="s">
        <v>64</v>
      </c>
      <c r="L4">
        <v>30</v>
      </c>
      <c r="M4" t="s">
        <v>149</v>
      </c>
      <c r="N4" t="s">
        <v>149</v>
      </c>
      <c r="O4" s="97">
        <f>'Daily Income-Daily Pass'!$Q$14</f>
        <v>576</v>
      </c>
      <c r="P4" s="97">
        <f>'Salaries and Daily Costs'!$S$8</f>
        <v>536.22</v>
      </c>
      <c r="R4" s="88">
        <f t="shared" ref="R4" si="0">O4-(P4+Q4)</f>
        <v>39.779999999999973</v>
      </c>
      <c r="T4" s="1" t="s">
        <v>62</v>
      </c>
      <c r="U4" s="22">
        <v>2</v>
      </c>
      <c r="V4" s="22">
        <f>'2019 Weather'!Q7</f>
        <v>70</v>
      </c>
      <c r="W4" s="22">
        <v>0.9</v>
      </c>
      <c r="X4" s="90">
        <f>('Daily Income-Daily Pass'!$Q$25-480)*W4*(V4/100)+480</f>
        <v>1362</v>
      </c>
      <c r="Y4" s="90">
        <f>'Salaries and Daily Costs'!$S$26</f>
        <v>1719.45</v>
      </c>
      <c r="Z4" s="22"/>
      <c r="AA4" s="88">
        <f t="shared" ref="AA4:AA33" si="1">X4-(Y4+Z4)</f>
        <v>-357.45000000000005</v>
      </c>
      <c r="AB4" s="90"/>
      <c r="AC4" s="1" t="s">
        <v>59</v>
      </c>
      <c r="AD4" s="22">
        <v>2</v>
      </c>
      <c r="AE4" s="22">
        <f>'2019 Weather'!Z7</f>
        <v>39.1</v>
      </c>
      <c r="AF4" s="22">
        <v>0.9</v>
      </c>
      <c r="AG4" s="90">
        <f>('Daily Income-Daily Pass'!$Q$25-480)*AF4*(AE4/100)+480</f>
        <v>972.66000000000008</v>
      </c>
      <c r="AH4" s="90">
        <f>'Salaries and Daily Costs'!$S$26</f>
        <v>1719.45</v>
      </c>
      <c r="AI4" s="22"/>
      <c r="AJ4" s="88">
        <f t="shared" ref="AJ4:AJ32" si="2">AG4-(AH4+AI4)</f>
        <v>-746.79</v>
      </c>
    </row>
    <row r="5" spans="1:36" ht="15" customHeight="1" thickBot="1">
      <c r="A5" s="25"/>
      <c r="B5" s="211">
        <v>5</v>
      </c>
      <c r="C5" s="211">
        <v>6</v>
      </c>
      <c r="D5" s="211">
        <v>7</v>
      </c>
      <c r="E5" s="211">
        <v>8</v>
      </c>
      <c r="F5" s="211">
        <v>9</v>
      </c>
      <c r="G5" s="211">
        <v>10</v>
      </c>
      <c r="H5" s="211">
        <v>11</v>
      </c>
      <c r="I5" s="25"/>
      <c r="O5" s="176">
        <f>SUM(O3:O4)</f>
        <v>1152</v>
      </c>
      <c r="P5" s="76">
        <f>SUM(P3:P4)</f>
        <v>1072.44</v>
      </c>
      <c r="Q5" s="61" t="s">
        <v>23</v>
      </c>
      <c r="R5" s="143">
        <f>SUM(R3:R4)</f>
        <v>79.559999999999945</v>
      </c>
      <c r="T5" s="1" t="s">
        <v>63</v>
      </c>
      <c r="U5" s="22">
        <v>3</v>
      </c>
      <c r="V5" s="22">
        <f>'2019 Weather'!Q9</f>
        <v>60.7</v>
      </c>
      <c r="W5" s="22">
        <v>0.9</v>
      </c>
      <c r="X5" s="90">
        <f>('Daily Income-Daily Pass'!$Q$25-480)*W5*(V5/100)+480</f>
        <v>1244.82</v>
      </c>
      <c r="Y5" s="90">
        <f>'Salaries and Daily Costs'!$S$26</f>
        <v>1719.45</v>
      </c>
      <c r="Z5" s="22"/>
      <c r="AA5" s="88">
        <f t="shared" si="1"/>
        <v>-474.63000000000011</v>
      </c>
      <c r="AB5" s="90"/>
      <c r="AC5" s="1" t="s">
        <v>60</v>
      </c>
      <c r="AD5" s="22">
        <v>3</v>
      </c>
      <c r="AE5" s="22">
        <f>'2019 Weather'!Z9</f>
        <v>62.2</v>
      </c>
      <c r="AF5" s="22">
        <v>0.9</v>
      </c>
      <c r="AG5" s="90">
        <f>('Daily Income-Daily Pass'!$Q$25-480)*AF5*(AE5/100)+480</f>
        <v>1263.72</v>
      </c>
      <c r="AH5" s="90">
        <f>'Salaries and Daily Costs'!$S$26</f>
        <v>1719.45</v>
      </c>
      <c r="AI5" s="22"/>
      <c r="AJ5" s="88">
        <f t="shared" si="2"/>
        <v>-455.73</v>
      </c>
    </row>
    <row r="6" spans="1:36" ht="15" customHeight="1" thickBot="1">
      <c r="A6" s="25"/>
      <c r="B6" s="211"/>
      <c r="C6" s="211"/>
      <c r="D6" s="211"/>
      <c r="E6" s="211"/>
      <c r="F6" s="211"/>
      <c r="G6" s="211"/>
      <c r="H6" s="211"/>
      <c r="I6" s="25"/>
      <c r="T6" s="1" t="s">
        <v>64</v>
      </c>
      <c r="U6" s="22">
        <v>4</v>
      </c>
      <c r="V6" s="22">
        <f>'2019 Weather'!Q11</f>
        <v>76.599999999999994</v>
      </c>
      <c r="W6" s="22">
        <v>1</v>
      </c>
      <c r="X6" s="90">
        <f>('Daily Income-Daily Pass'!$Q$25-480)*W6*(V6/100)+480</f>
        <v>1552.3999999999999</v>
      </c>
      <c r="Y6" s="90">
        <f>'Salaries and Daily Costs'!$S$26</f>
        <v>1719.45</v>
      </c>
      <c r="Z6" s="22"/>
      <c r="AA6" s="88">
        <f t="shared" si="1"/>
        <v>-167.05000000000018</v>
      </c>
      <c r="AB6" s="90"/>
      <c r="AC6" s="1" t="s">
        <v>61</v>
      </c>
      <c r="AD6" s="22">
        <v>4</v>
      </c>
      <c r="AE6" s="22">
        <f>'2019 Weather'!Z11</f>
        <v>79.75</v>
      </c>
      <c r="AF6" s="22">
        <v>1</v>
      </c>
      <c r="AG6" s="90">
        <f>('Daily Income-Daily Pass'!$Q$25-480)*AF6*(AE6/100)+480</f>
        <v>1596.5</v>
      </c>
      <c r="AH6" s="90">
        <f>'Salaries and Daily Costs'!$S$26</f>
        <v>1719.45</v>
      </c>
      <c r="AI6" s="22"/>
      <c r="AJ6" s="88">
        <f t="shared" si="2"/>
        <v>-122.95000000000005</v>
      </c>
    </row>
    <row r="7" spans="1:36" ht="15" customHeight="1" thickBot="1">
      <c r="A7" s="25"/>
      <c r="B7" s="211">
        <v>12</v>
      </c>
      <c r="C7" s="211">
        <v>13</v>
      </c>
      <c r="D7" s="211">
        <v>14</v>
      </c>
      <c r="E7" s="211">
        <v>15</v>
      </c>
      <c r="F7" s="211">
        <v>16</v>
      </c>
      <c r="G7" s="211">
        <v>17</v>
      </c>
      <c r="H7" s="211">
        <v>18</v>
      </c>
      <c r="I7" s="25"/>
      <c r="K7" s="197" t="s">
        <v>55</v>
      </c>
      <c r="L7" s="198"/>
      <c r="M7" s="198"/>
      <c r="N7" s="198"/>
      <c r="O7" s="198"/>
      <c r="P7" s="198"/>
      <c r="Q7" s="198"/>
      <c r="R7" s="199"/>
      <c r="T7" s="1" t="s">
        <v>58</v>
      </c>
      <c r="U7" s="22">
        <v>5</v>
      </c>
      <c r="V7" s="22">
        <f>'2019 Weather'!Q13</f>
        <v>62.5</v>
      </c>
      <c r="W7" s="22">
        <v>1</v>
      </c>
      <c r="X7" s="90">
        <f>('Daily Income-Daily Pass'!$Q$25-480)*W7*(V7/100)+480</f>
        <v>1355</v>
      </c>
      <c r="Y7" s="90">
        <f>'Salaries and Daily Costs'!$S$26</f>
        <v>1719.45</v>
      </c>
      <c r="Z7" s="22"/>
      <c r="AA7" s="88">
        <f t="shared" si="1"/>
        <v>-364.45000000000005</v>
      </c>
      <c r="AB7" s="90"/>
      <c r="AC7" s="1" t="s">
        <v>62</v>
      </c>
      <c r="AD7" s="22">
        <v>5</v>
      </c>
      <c r="AE7" s="22">
        <f>'2019 Weather'!Z13</f>
        <v>32.5</v>
      </c>
      <c r="AF7" s="22">
        <v>1</v>
      </c>
      <c r="AG7" s="90">
        <f>('Daily Income-Daily Pass'!$Q$25-480)*AF7*(AE7/100)+480</f>
        <v>935</v>
      </c>
      <c r="AH7" s="90">
        <f>'Salaries and Daily Costs'!$S$26</f>
        <v>1719.45</v>
      </c>
      <c r="AI7" s="22"/>
      <c r="AJ7" s="88">
        <f t="shared" si="2"/>
        <v>-784.45</v>
      </c>
    </row>
    <row r="8" spans="1:36" ht="15" customHeight="1" thickBot="1">
      <c r="A8" s="25"/>
      <c r="B8" s="211"/>
      <c r="C8" s="211"/>
      <c r="D8" s="211"/>
      <c r="E8" s="211"/>
      <c r="F8" s="211"/>
      <c r="G8" s="211"/>
      <c r="H8" s="211"/>
      <c r="I8" s="25"/>
      <c r="K8" s="81" t="s">
        <v>86</v>
      </c>
      <c r="L8" s="82" t="s">
        <v>85</v>
      </c>
      <c r="M8" s="34" t="s">
        <v>84</v>
      </c>
      <c r="N8" s="34" t="s">
        <v>87</v>
      </c>
      <c r="O8" s="34" t="s">
        <v>6</v>
      </c>
      <c r="P8" s="34" t="s">
        <v>38</v>
      </c>
      <c r="Q8" s="34" t="s">
        <v>88</v>
      </c>
      <c r="R8" s="33" t="s">
        <v>89</v>
      </c>
      <c r="T8" s="1" t="s">
        <v>59</v>
      </c>
      <c r="U8" s="22">
        <v>6</v>
      </c>
      <c r="V8" s="22">
        <f>'2019 Weather'!Q15</f>
        <v>62.5</v>
      </c>
      <c r="W8" s="22">
        <v>0.9</v>
      </c>
      <c r="X8" s="90">
        <f>('Daily Income-Daily Pass'!$Q$25-480)*W8*(V8/100)+480</f>
        <v>1267.5</v>
      </c>
      <c r="Y8" s="90">
        <f>'Salaries and Daily Costs'!$S$26</f>
        <v>1719.45</v>
      </c>
      <c r="Z8" s="22"/>
      <c r="AA8" s="88">
        <f t="shared" si="1"/>
        <v>-451.95000000000005</v>
      </c>
      <c r="AB8" s="90"/>
      <c r="AC8" s="1" t="s">
        <v>63</v>
      </c>
      <c r="AD8" s="22">
        <v>6</v>
      </c>
      <c r="AE8" s="22">
        <f>'2019 Weather'!Z15</f>
        <v>4.45</v>
      </c>
      <c r="AF8" s="22">
        <v>0.9</v>
      </c>
      <c r="AG8" s="90">
        <f>('Daily Income-Daily Pass'!$Q$25-480)*AF8*(AE8/100)+480</f>
        <v>536.07000000000005</v>
      </c>
      <c r="AH8" s="90">
        <f>'Salaries and Daily Costs'!$S$26</f>
        <v>1719.45</v>
      </c>
      <c r="AI8" s="22"/>
      <c r="AJ8" s="88">
        <f t="shared" si="2"/>
        <v>-1183.3800000000001</v>
      </c>
    </row>
    <row r="9" spans="1:36">
      <c r="A9" s="25"/>
      <c r="B9" s="211">
        <v>19</v>
      </c>
      <c r="C9" s="211">
        <v>20</v>
      </c>
      <c r="D9" s="211">
        <v>21</v>
      </c>
      <c r="E9" s="211">
        <v>22</v>
      </c>
      <c r="F9" s="211">
        <v>23</v>
      </c>
      <c r="G9" s="211">
        <v>24</v>
      </c>
      <c r="H9" s="211">
        <v>25</v>
      </c>
      <c r="I9" s="25"/>
      <c r="K9" s="1" t="s">
        <v>58</v>
      </c>
      <c r="L9" s="22">
        <v>1</v>
      </c>
      <c r="M9" s="22" t="s">
        <v>149</v>
      </c>
      <c r="N9" s="22" t="s">
        <v>149</v>
      </c>
      <c r="O9" s="90">
        <f>'Daily Income-Daily Pass'!$Q$14</f>
        <v>576</v>
      </c>
      <c r="P9" s="90">
        <f>'Salaries and Daily Costs'!$S$8</f>
        <v>536.22</v>
      </c>
      <c r="Q9" s="22"/>
      <c r="R9" s="88">
        <f>O9-(P9+Q9)</f>
        <v>39.779999999999973</v>
      </c>
      <c r="T9" s="1" t="s">
        <v>60</v>
      </c>
      <c r="U9" s="22">
        <v>7</v>
      </c>
      <c r="V9" s="22">
        <f>'2019 Weather'!Q17</f>
        <v>46.599999999999994</v>
      </c>
      <c r="W9" s="22">
        <v>0.9</v>
      </c>
      <c r="X9" s="90">
        <f>('Daily Income-Daily Pass'!$Q$25-480)*W9*(V9/100)+480</f>
        <v>1067.1599999999999</v>
      </c>
      <c r="Y9" s="90">
        <f>'Salaries and Daily Costs'!$S$26</f>
        <v>1719.45</v>
      </c>
      <c r="Z9" s="22"/>
      <c r="AA9" s="88">
        <f t="shared" si="1"/>
        <v>-652.29000000000019</v>
      </c>
      <c r="AB9" s="90"/>
      <c r="AC9" s="1" t="s">
        <v>64</v>
      </c>
      <c r="AD9" s="22">
        <v>7</v>
      </c>
      <c r="AE9" s="22">
        <f>'2019 Weather'!Z17</f>
        <v>40</v>
      </c>
      <c r="AF9" s="22">
        <v>0.9</v>
      </c>
      <c r="AG9" s="90">
        <f>('Daily Income-Daily Pass'!$Q$25-480)*AF9*(AE9/100)+480</f>
        <v>984</v>
      </c>
      <c r="AH9" s="90">
        <f>'Salaries and Daily Costs'!$S$26</f>
        <v>1719.45</v>
      </c>
      <c r="AI9" s="22"/>
      <c r="AJ9" s="88">
        <f t="shared" si="2"/>
        <v>-735.45</v>
      </c>
    </row>
    <row r="10" spans="1:36" ht="15" customHeight="1">
      <c r="A10" s="25"/>
      <c r="B10" s="211"/>
      <c r="C10" s="211"/>
      <c r="D10" s="211"/>
      <c r="E10" s="211"/>
      <c r="F10" s="211"/>
      <c r="G10" s="211"/>
      <c r="H10" s="211"/>
      <c r="I10" s="25"/>
      <c r="K10" s="1" t="s">
        <v>59</v>
      </c>
      <c r="L10" s="22">
        <v>2</v>
      </c>
      <c r="M10" s="22" t="s">
        <v>149</v>
      </c>
      <c r="N10" s="22" t="s">
        <v>149</v>
      </c>
      <c r="O10" s="90">
        <f>'Daily Income-Daily Pass'!$Q$14</f>
        <v>576</v>
      </c>
      <c r="P10" s="90">
        <f>'Salaries and Daily Costs'!$S$8</f>
        <v>536.22</v>
      </c>
      <c r="Q10" s="22"/>
      <c r="R10" s="88">
        <f t="shared" ref="R10:R39" si="3">O10-(P10+Q10)</f>
        <v>39.779999999999973</v>
      </c>
      <c r="T10" s="1" t="s">
        <v>61</v>
      </c>
      <c r="U10" s="22">
        <v>8</v>
      </c>
      <c r="V10" s="22">
        <f>'2019 Weather'!Q19</f>
        <v>66.25</v>
      </c>
      <c r="W10" s="22">
        <v>0.9</v>
      </c>
      <c r="X10" s="90">
        <f>('Daily Income-Daily Pass'!$Q$25-480)*W10*(V10/100)+480</f>
        <v>1314.75</v>
      </c>
      <c r="Y10" s="90">
        <f>'Salaries and Daily Costs'!$S$26</f>
        <v>1719.45</v>
      </c>
      <c r="Z10" s="22"/>
      <c r="AA10" s="88">
        <f t="shared" si="1"/>
        <v>-404.70000000000005</v>
      </c>
      <c r="AB10" s="90"/>
      <c r="AC10" s="1" t="s">
        <v>58</v>
      </c>
      <c r="AD10" s="22">
        <v>8</v>
      </c>
      <c r="AE10" s="22">
        <f>'2019 Weather'!Z19</f>
        <v>51.25</v>
      </c>
      <c r="AF10" s="22">
        <v>0.9</v>
      </c>
      <c r="AG10" s="90">
        <f>('Daily Income-Daily Pass'!$Q$25-480)*AF10*(AE10/100)+480</f>
        <v>1125.75</v>
      </c>
      <c r="AH10" s="90">
        <f>'Salaries and Daily Costs'!$S$26</f>
        <v>1719.45</v>
      </c>
      <c r="AI10" s="22"/>
      <c r="AJ10" s="88">
        <f t="shared" si="2"/>
        <v>-593.70000000000005</v>
      </c>
    </row>
    <row r="11" spans="1:36" ht="15" customHeight="1">
      <c r="A11" s="25"/>
      <c r="B11" s="211">
        <v>26</v>
      </c>
      <c r="C11" s="211">
        <v>27</v>
      </c>
      <c r="D11" s="211">
        <v>28</v>
      </c>
      <c r="E11" s="211">
        <v>29</v>
      </c>
      <c r="F11" s="211">
        <v>30</v>
      </c>
      <c r="G11" s="211">
        <v>31</v>
      </c>
      <c r="H11" s="211"/>
      <c r="I11" s="25"/>
      <c r="K11" s="1" t="s">
        <v>60</v>
      </c>
      <c r="L11" s="22">
        <v>3</v>
      </c>
      <c r="M11" s="22" t="s">
        <v>149</v>
      </c>
      <c r="N11" s="22" t="s">
        <v>149</v>
      </c>
      <c r="O11" s="90">
        <f>'Daily Income-Daily Pass'!$Q$14</f>
        <v>576</v>
      </c>
      <c r="P11" s="90">
        <f>'Salaries and Daily Costs'!$S$8</f>
        <v>536.22</v>
      </c>
      <c r="Q11" s="22"/>
      <c r="R11" s="88">
        <f t="shared" si="3"/>
        <v>39.779999999999973</v>
      </c>
      <c r="T11" s="1" t="s">
        <v>62</v>
      </c>
      <c r="U11" s="22">
        <v>9</v>
      </c>
      <c r="V11" s="22">
        <f>'2019 Weather'!Q21</f>
        <v>66.25</v>
      </c>
      <c r="W11" s="22">
        <v>0.9</v>
      </c>
      <c r="X11" s="90">
        <f>('Daily Income-Daily Pass'!$Q$25-480)*W11*(V11/100)+480</f>
        <v>1314.75</v>
      </c>
      <c r="Y11" s="90">
        <f>'Salaries and Daily Costs'!$S$26</f>
        <v>1719.45</v>
      </c>
      <c r="Z11" s="22"/>
      <c r="AA11" s="88">
        <f t="shared" si="1"/>
        <v>-404.70000000000005</v>
      </c>
      <c r="AB11" s="90"/>
      <c r="AC11" s="1" t="s">
        <v>59</v>
      </c>
      <c r="AD11" s="22">
        <v>9</v>
      </c>
      <c r="AE11" s="22">
        <f>'2019 Weather'!Z21</f>
        <v>47.5</v>
      </c>
      <c r="AF11" s="22">
        <v>0.9</v>
      </c>
      <c r="AG11" s="90">
        <f>('Daily Income-Daily Pass'!$Q$25-480)*AF11*(AE11/100)+480</f>
        <v>1078.5</v>
      </c>
      <c r="AH11" s="90">
        <f>'Salaries and Daily Costs'!$S$26</f>
        <v>1719.45</v>
      </c>
      <c r="AI11" s="22"/>
      <c r="AJ11" s="88">
        <f t="shared" si="2"/>
        <v>-640.95000000000005</v>
      </c>
    </row>
    <row r="12" spans="1:36" ht="15" customHeight="1">
      <c r="A12" s="25"/>
      <c r="B12" s="211"/>
      <c r="C12" s="211"/>
      <c r="D12" s="211"/>
      <c r="E12" s="211"/>
      <c r="F12" s="211"/>
      <c r="G12" s="211"/>
      <c r="H12" s="211"/>
      <c r="I12" s="25"/>
      <c r="K12" s="1" t="s">
        <v>61</v>
      </c>
      <c r="L12" s="22">
        <v>4</v>
      </c>
      <c r="M12" s="22" t="s">
        <v>149</v>
      </c>
      <c r="N12" s="22" t="s">
        <v>149</v>
      </c>
      <c r="O12" s="90">
        <f>'Daily Income-Daily Pass'!$Q$14</f>
        <v>576</v>
      </c>
      <c r="P12" s="90">
        <f>'Salaries and Daily Costs'!$S$8</f>
        <v>536.22</v>
      </c>
      <c r="Q12" s="22"/>
      <c r="R12" s="88">
        <f t="shared" si="3"/>
        <v>39.779999999999973</v>
      </c>
      <c r="T12" s="1" t="s">
        <v>63</v>
      </c>
      <c r="U12" s="22">
        <v>10</v>
      </c>
      <c r="V12" s="22">
        <f>'2019 Weather'!Q23</f>
        <v>55</v>
      </c>
      <c r="W12" s="22">
        <v>0.9</v>
      </c>
      <c r="X12" s="90">
        <f>('Daily Income-Daily Pass'!$Q$25-480)*W12*(V12/100)+480</f>
        <v>1173</v>
      </c>
      <c r="Y12" s="90">
        <f>'Salaries and Daily Costs'!$S$26</f>
        <v>1719.45</v>
      </c>
      <c r="Z12" s="22"/>
      <c r="AA12" s="88">
        <f t="shared" si="1"/>
        <v>-546.45000000000005</v>
      </c>
      <c r="AB12" s="90"/>
      <c r="AC12" s="1" t="s">
        <v>60</v>
      </c>
      <c r="AD12" s="22">
        <v>10</v>
      </c>
      <c r="AE12" s="22">
        <f>'2019 Weather'!Z23</f>
        <v>41.95</v>
      </c>
      <c r="AF12" s="22">
        <v>0.9</v>
      </c>
      <c r="AG12" s="90">
        <f>('Daily Income-Daily Pass'!$Q$25-480)*AF12*(AE12/100)+480</f>
        <v>1008.57</v>
      </c>
      <c r="AH12" s="90">
        <f>'Salaries and Daily Costs'!$S$26</f>
        <v>1719.45</v>
      </c>
      <c r="AI12" s="22"/>
      <c r="AJ12" s="88">
        <f t="shared" si="2"/>
        <v>-710.88</v>
      </c>
    </row>
    <row r="13" spans="1:36" ht="15" customHeight="1" thickBot="1">
      <c r="A13" s="25"/>
      <c r="B13" s="25"/>
      <c r="C13" s="25"/>
      <c r="D13" s="25"/>
      <c r="E13" s="25"/>
      <c r="F13" s="25"/>
      <c r="G13" s="25"/>
      <c r="H13" s="25"/>
      <c r="I13" s="25"/>
      <c r="K13" s="1" t="s">
        <v>62</v>
      </c>
      <c r="L13" s="22">
        <v>5</v>
      </c>
      <c r="M13" s="22" t="s">
        <v>149</v>
      </c>
      <c r="N13" s="22" t="s">
        <v>149</v>
      </c>
      <c r="O13" s="90">
        <f>'Daily Income-Daily Pass'!$Q$14</f>
        <v>576</v>
      </c>
      <c r="P13" s="90">
        <f>'Salaries and Daily Costs'!$S$8</f>
        <v>536.22</v>
      </c>
      <c r="Q13" s="22"/>
      <c r="R13" s="88">
        <f t="shared" si="3"/>
        <v>39.779999999999973</v>
      </c>
      <c r="T13" s="1" t="s">
        <v>64</v>
      </c>
      <c r="U13" s="22">
        <v>11</v>
      </c>
      <c r="V13" s="22">
        <f>'2019 Weather'!Q25</f>
        <v>55</v>
      </c>
      <c r="W13" s="22">
        <v>1</v>
      </c>
      <c r="X13" s="90">
        <f>('Daily Income-Daily Pass'!$Q$25-480)*W13*(V13/100)+480</f>
        <v>1250</v>
      </c>
      <c r="Y13" s="90">
        <f>'Salaries and Daily Costs'!$S$26</f>
        <v>1719.45</v>
      </c>
      <c r="Z13" s="22"/>
      <c r="AA13" s="88">
        <f t="shared" si="1"/>
        <v>-469.45000000000005</v>
      </c>
      <c r="AB13" s="90"/>
      <c r="AC13" s="1" t="s">
        <v>61</v>
      </c>
      <c r="AD13" s="22">
        <v>11</v>
      </c>
      <c r="AE13" s="22">
        <f>'2019 Weather'!Z25</f>
        <v>92.5</v>
      </c>
      <c r="AF13" s="22">
        <v>1</v>
      </c>
      <c r="AG13" s="90">
        <f>('Daily Income-Daily Pass'!$Q$25-480)*AF13*(AE13/100)+480</f>
        <v>1775</v>
      </c>
      <c r="AH13" s="90">
        <f>'Salaries and Daily Costs'!$S$26</f>
        <v>1719.45</v>
      </c>
      <c r="AI13" s="22"/>
      <c r="AJ13" s="88">
        <f t="shared" si="2"/>
        <v>55.549999999999955</v>
      </c>
    </row>
    <row r="14" spans="1:36" ht="15" customHeight="1">
      <c r="A14" s="25"/>
      <c r="B14" s="213" t="s">
        <v>56</v>
      </c>
      <c r="C14" s="214"/>
      <c r="D14" s="214"/>
      <c r="E14" s="214"/>
      <c r="F14" s="214"/>
      <c r="G14" s="214"/>
      <c r="H14" s="215"/>
      <c r="I14" s="25"/>
      <c r="K14" s="1" t="s">
        <v>63</v>
      </c>
      <c r="L14" s="22">
        <v>6</v>
      </c>
      <c r="M14" s="22" t="s">
        <v>149</v>
      </c>
      <c r="N14" s="22" t="s">
        <v>149</v>
      </c>
      <c r="O14" s="90">
        <f>'Daily Income-Daily Pass'!$Q$14</f>
        <v>576</v>
      </c>
      <c r="P14" s="90">
        <f>'Salaries and Daily Costs'!$S$8</f>
        <v>536.22</v>
      </c>
      <c r="Q14" s="22"/>
      <c r="R14" s="88">
        <f t="shared" si="3"/>
        <v>39.779999999999973</v>
      </c>
      <c r="T14" s="1" t="s">
        <v>58</v>
      </c>
      <c r="U14" s="22">
        <v>12</v>
      </c>
      <c r="V14" s="22">
        <f>'2019 Weather'!Q27</f>
        <v>73.75</v>
      </c>
      <c r="W14" s="22">
        <v>1</v>
      </c>
      <c r="X14" s="90">
        <f>('Daily Income-Daily Pass'!$Q$25-480)*W14*(V14/100)+480</f>
        <v>1512.5</v>
      </c>
      <c r="Y14" s="90">
        <f>'Salaries and Daily Costs'!$S$26</f>
        <v>1719.45</v>
      </c>
      <c r="Z14" s="22"/>
      <c r="AA14" s="88">
        <f t="shared" si="1"/>
        <v>-206.95000000000005</v>
      </c>
      <c r="AB14" s="90"/>
      <c r="AC14" s="1" t="s">
        <v>62</v>
      </c>
      <c r="AD14" s="22">
        <v>12</v>
      </c>
      <c r="AE14" s="22">
        <f>'2019 Weather'!Z27</f>
        <v>43.3</v>
      </c>
      <c r="AF14" s="22">
        <v>1</v>
      </c>
      <c r="AG14" s="90">
        <f>('Daily Income-Daily Pass'!$Q$25-480)*AF14*(AE14/100)+480</f>
        <v>1086.2</v>
      </c>
      <c r="AH14" s="90">
        <f>'Salaries and Daily Costs'!$S$26</f>
        <v>1719.45</v>
      </c>
      <c r="AI14" s="22"/>
      <c r="AJ14" s="88">
        <f t="shared" si="2"/>
        <v>-633.25</v>
      </c>
    </row>
    <row r="15" spans="1:36" ht="15" customHeight="1" thickBot="1">
      <c r="A15" s="25"/>
      <c r="B15" s="3" t="s">
        <v>48</v>
      </c>
      <c r="C15" s="23" t="s">
        <v>49</v>
      </c>
      <c r="D15" s="23" t="s">
        <v>50</v>
      </c>
      <c r="E15" s="23" t="s">
        <v>51</v>
      </c>
      <c r="F15" s="23" t="s">
        <v>52</v>
      </c>
      <c r="G15" s="23" t="s">
        <v>53</v>
      </c>
      <c r="H15" s="4" t="s">
        <v>54</v>
      </c>
      <c r="I15" s="25"/>
      <c r="K15" s="1" t="s">
        <v>64</v>
      </c>
      <c r="L15" s="22">
        <v>7</v>
      </c>
      <c r="M15" s="22" t="s">
        <v>149</v>
      </c>
      <c r="N15" s="22" t="s">
        <v>149</v>
      </c>
      <c r="O15" s="90">
        <f>'Daily Income-Daily Pass'!$Q$14</f>
        <v>576</v>
      </c>
      <c r="P15" s="90">
        <f>'Salaries and Daily Costs'!$S$8</f>
        <v>536.22</v>
      </c>
      <c r="Q15" s="22"/>
      <c r="R15" s="88">
        <f t="shared" si="3"/>
        <v>39.779999999999973</v>
      </c>
      <c r="T15" s="1" t="s">
        <v>59</v>
      </c>
      <c r="U15" s="22">
        <v>13</v>
      </c>
      <c r="V15" s="22">
        <f>'2019 Weather'!Q29</f>
        <v>50.35</v>
      </c>
      <c r="W15" s="22">
        <v>0.9</v>
      </c>
      <c r="X15" s="90">
        <f>('Daily Income-Daily Pass'!$Q$25-480)*W15*(V15/100)+480</f>
        <v>1114.4100000000001</v>
      </c>
      <c r="Y15" s="90">
        <f>'Salaries and Daily Costs'!$S$26</f>
        <v>1719.45</v>
      </c>
      <c r="Z15" s="22"/>
      <c r="AA15" s="88">
        <f t="shared" si="1"/>
        <v>-605.04</v>
      </c>
      <c r="AB15" s="90"/>
      <c r="AC15" s="1" t="s">
        <v>63</v>
      </c>
      <c r="AD15" s="22">
        <v>13</v>
      </c>
      <c r="AE15" s="22">
        <f>'2019 Weather'!Z29</f>
        <v>17.5</v>
      </c>
      <c r="AF15" s="22">
        <v>0.9</v>
      </c>
      <c r="AG15" s="90">
        <f>('Daily Income-Daily Pass'!$Q$25-480)*AF15*(AE15/100)+480</f>
        <v>700.5</v>
      </c>
      <c r="AH15" s="90">
        <f>'Salaries and Daily Costs'!$S$26</f>
        <v>1719.45</v>
      </c>
      <c r="AI15" s="22"/>
      <c r="AJ15" s="88">
        <f t="shared" si="2"/>
        <v>-1018.95</v>
      </c>
    </row>
    <row r="16" spans="1:36" ht="15" customHeight="1">
      <c r="A16" s="25"/>
      <c r="B16" s="212"/>
      <c r="C16" s="212"/>
      <c r="D16" s="212"/>
      <c r="E16" s="212"/>
      <c r="F16" s="212"/>
      <c r="G16" s="212"/>
      <c r="H16" s="212">
        <v>1</v>
      </c>
      <c r="I16" s="25"/>
      <c r="K16" s="1" t="s">
        <v>58</v>
      </c>
      <c r="L16" s="22">
        <v>8</v>
      </c>
      <c r="M16" s="22" t="s">
        <v>149</v>
      </c>
      <c r="N16" s="22" t="s">
        <v>149</v>
      </c>
      <c r="O16" s="90">
        <f>'Daily Income-Daily Pass'!$Q$14</f>
        <v>576</v>
      </c>
      <c r="P16" s="90">
        <f>'Salaries and Daily Costs'!$S$8</f>
        <v>536.22</v>
      </c>
      <c r="Q16" s="22"/>
      <c r="R16" s="88">
        <f t="shared" si="3"/>
        <v>39.779999999999973</v>
      </c>
      <c r="T16" s="1" t="s">
        <v>60</v>
      </c>
      <c r="U16" s="22">
        <v>14</v>
      </c>
      <c r="V16" s="22">
        <f>'2019 Weather'!Q31</f>
        <v>54.55</v>
      </c>
      <c r="W16" s="22">
        <v>0.9</v>
      </c>
      <c r="X16" s="90">
        <f>('Daily Income-Daily Pass'!$Q$25-480)*W16*(V16/100)+480</f>
        <v>1167.33</v>
      </c>
      <c r="Y16" s="90">
        <f>'Salaries and Daily Costs'!$S$26</f>
        <v>1719.45</v>
      </c>
      <c r="Z16" s="22"/>
      <c r="AA16" s="88">
        <f t="shared" si="1"/>
        <v>-552.12000000000012</v>
      </c>
      <c r="AB16" s="90"/>
      <c r="AC16" s="1" t="s">
        <v>64</v>
      </c>
      <c r="AD16" s="22">
        <v>14</v>
      </c>
      <c r="AE16" s="22">
        <f>'2019 Weather'!Z31</f>
        <v>32.5</v>
      </c>
      <c r="AF16" s="22">
        <v>0.9</v>
      </c>
      <c r="AG16" s="90">
        <f>('Daily Income-Daily Pass'!$Q$25-480)*AF16*(AE16/100)+480</f>
        <v>889.5</v>
      </c>
      <c r="AH16" s="90">
        <f>'Salaries and Daily Costs'!$S$26</f>
        <v>1719.45</v>
      </c>
      <c r="AI16" s="22"/>
      <c r="AJ16" s="88">
        <f t="shared" si="2"/>
        <v>-829.95</v>
      </c>
    </row>
    <row r="17" spans="1:36" ht="15" customHeight="1">
      <c r="A17" s="25"/>
      <c r="B17" s="211"/>
      <c r="C17" s="211"/>
      <c r="D17" s="211"/>
      <c r="E17" s="211"/>
      <c r="F17" s="211"/>
      <c r="G17" s="211"/>
      <c r="H17" s="211"/>
      <c r="I17" s="25"/>
      <c r="K17" s="1" t="s">
        <v>59</v>
      </c>
      <c r="L17" s="22">
        <v>9</v>
      </c>
      <c r="M17" s="22" t="s">
        <v>149</v>
      </c>
      <c r="N17" s="22" t="s">
        <v>149</v>
      </c>
      <c r="O17" s="90">
        <f>'Daily Income-Daily Pass'!$Q$14</f>
        <v>576</v>
      </c>
      <c r="P17" s="90">
        <f>'Salaries and Daily Costs'!$S$8</f>
        <v>536.22</v>
      </c>
      <c r="Q17" s="22"/>
      <c r="R17" s="88">
        <f t="shared" si="3"/>
        <v>39.779999999999973</v>
      </c>
      <c r="T17" s="1" t="s">
        <v>61</v>
      </c>
      <c r="U17" s="22">
        <v>15</v>
      </c>
      <c r="V17" s="22">
        <f>'2019 Weather'!Q33</f>
        <v>66.25</v>
      </c>
      <c r="W17" s="22">
        <v>0.9</v>
      </c>
      <c r="X17" s="90">
        <f>('Daily Income-Daily Pass'!$Q$25-480)*W17*(V17/100)+480</f>
        <v>1314.75</v>
      </c>
      <c r="Y17" s="90">
        <f>'Salaries and Daily Costs'!$S$26</f>
        <v>1719.45</v>
      </c>
      <c r="Z17" s="22"/>
      <c r="AA17" s="88">
        <f t="shared" si="1"/>
        <v>-404.70000000000005</v>
      </c>
      <c r="AB17" s="90"/>
      <c r="AC17" s="1" t="s">
        <v>58</v>
      </c>
      <c r="AD17" s="22">
        <v>15</v>
      </c>
      <c r="AE17" s="22">
        <f>'2019 Weather'!Z33</f>
        <v>62.2</v>
      </c>
      <c r="AF17" s="22">
        <v>0.9</v>
      </c>
      <c r="AG17" s="90">
        <f>('Daily Income-Daily Pass'!$Q$25-480)*AF17*(AE17/100)+480</f>
        <v>1263.72</v>
      </c>
      <c r="AH17" s="90">
        <f>'Salaries and Daily Costs'!$S$26</f>
        <v>1719.45</v>
      </c>
      <c r="AI17" s="22"/>
      <c r="AJ17" s="88">
        <f t="shared" si="2"/>
        <v>-455.73</v>
      </c>
    </row>
    <row r="18" spans="1:36" ht="15" customHeight="1">
      <c r="A18" s="25"/>
      <c r="B18" s="211">
        <v>2</v>
      </c>
      <c r="C18" s="211">
        <v>3</v>
      </c>
      <c r="D18" s="211">
        <v>4</v>
      </c>
      <c r="E18" s="211">
        <v>5</v>
      </c>
      <c r="F18" s="211">
        <v>6</v>
      </c>
      <c r="G18" s="211">
        <v>7</v>
      </c>
      <c r="H18" s="211">
        <v>8</v>
      </c>
      <c r="I18" s="25"/>
      <c r="K18" s="1" t="s">
        <v>60</v>
      </c>
      <c r="L18" s="22">
        <v>10</v>
      </c>
      <c r="M18" s="22" t="s">
        <v>149</v>
      </c>
      <c r="N18" s="22" t="s">
        <v>149</v>
      </c>
      <c r="O18" s="90">
        <f>'Daily Income-Daily Pass'!$Q$14</f>
        <v>576</v>
      </c>
      <c r="P18" s="90">
        <f>'Salaries and Daily Costs'!$S$8</f>
        <v>536.22</v>
      </c>
      <c r="Q18" s="22"/>
      <c r="R18" s="88">
        <f t="shared" si="3"/>
        <v>39.779999999999973</v>
      </c>
      <c r="T18" s="1" t="s">
        <v>62</v>
      </c>
      <c r="U18" s="22">
        <v>16</v>
      </c>
      <c r="V18" s="22">
        <f>'2019 Weather'!Q35</f>
        <v>58.75</v>
      </c>
      <c r="W18" s="22">
        <v>0.9</v>
      </c>
      <c r="X18" s="90">
        <f>('Daily Income-Daily Pass'!$Q$25-480)*W18*(V18/100)+480</f>
        <v>1220.25</v>
      </c>
      <c r="Y18" s="90">
        <f>'Salaries and Daily Costs'!$S$26</f>
        <v>1719.45</v>
      </c>
      <c r="Z18" s="22"/>
      <c r="AA18" s="88">
        <f t="shared" si="1"/>
        <v>-499.20000000000005</v>
      </c>
      <c r="AB18" s="90"/>
      <c r="AC18" s="1" t="s">
        <v>59</v>
      </c>
      <c r="AD18" s="22">
        <v>16</v>
      </c>
      <c r="AE18" s="22">
        <f>'2019 Weather'!Z35</f>
        <v>43.75</v>
      </c>
      <c r="AF18" s="22">
        <v>0.9</v>
      </c>
      <c r="AG18" s="90">
        <f>('Daily Income-Daily Pass'!$Q$25-480)*AF18*(AE18/100)+480</f>
        <v>1031.25</v>
      </c>
      <c r="AH18" s="90">
        <f>'Salaries and Daily Costs'!$S$26</f>
        <v>1719.45</v>
      </c>
      <c r="AI18" s="22"/>
      <c r="AJ18" s="88">
        <f t="shared" si="2"/>
        <v>-688.2</v>
      </c>
    </row>
    <row r="19" spans="1:36" ht="15" customHeight="1">
      <c r="A19" s="25"/>
      <c r="B19" s="211"/>
      <c r="C19" s="211"/>
      <c r="D19" s="211"/>
      <c r="E19" s="211"/>
      <c r="F19" s="211"/>
      <c r="G19" s="211"/>
      <c r="H19" s="211"/>
      <c r="I19" s="25"/>
      <c r="K19" s="1" t="s">
        <v>61</v>
      </c>
      <c r="L19" s="22">
        <v>11</v>
      </c>
      <c r="M19" s="22" t="s">
        <v>149</v>
      </c>
      <c r="N19" s="22" t="s">
        <v>149</v>
      </c>
      <c r="O19" s="90">
        <f>'Daily Income-Daily Pass'!$Q$14</f>
        <v>576</v>
      </c>
      <c r="P19" s="90">
        <f>'Salaries and Daily Costs'!$S$8</f>
        <v>536.22</v>
      </c>
      <c r="Q19" s="22"/>
      <c r="R19" s="88">
        <f t="shared" si="3"/>
        <v>39.779999999999973</v>
      </c>
      <c r="T19" s="1" t="s">
        <v>63</v>
      </c>
      <c r="U19" s="22">
        <v>17</v>
      </c>
      <c r="V19" s="22">
        <f>'2019 Weather'!Q37</f>
        <v>74.2</v>
      </c>
      <c r="W19" s="22">
        <v>0.9</v>
      </c>
      <c r="X19" s="90">
        <f>('Daily Income-Daily Pass'!$Q$25-480)*W19*(V19/100)+480</f>
        <v>1414.92</v>
      </c>
      <c r="Y19" s="90">
        <f>'Salaries and Daily Costs'!$S$26</f>
        <v>1719.45</v>
      </c>
      <c r="Z19" s="22"/>
      <c r="AA19" s="88">
        <f t="shared" si="1"/>
        <v>-304.52999999999997</v>
      </c>
      <c r="AB19" s="90"/>
      <c r="AC19" s="1" t="s">
        <v>60</v>
      </c>
      <c r="AD19" s="22">
        <v>17</v>
      </c>
      <c r="AE19" s="22">
        <f>'2019 Weather'!Z37</f>
        <v>36.25</v>
      </c>
      <c r="AF19" s="22">
        <v>0.9</v>
      </c>
      <c r="AG19" s="90">
        <f>('Daily Income-Daily Pass'!$Q$25-480)*AF19*(AE19/100)+480</f>
        <v>936.75</v>
      </c>
      <c r="AH19" s="90">
        <f>'Salaries and Daily Costs'!$S$26</f>
        <v>1719.45</v>
      </c>
      <c r="AI19" s="22"/>
      <c r="AJ19" s="88">
        <f t="shared" si="2"/>
        <v>-782.7</v>
      </c>
    </row>
    <row r="20" spans="1:36" ht="15" customHeight="1">
      <c r="A20" s="25"/>
      <c r="B20" s="211">
        <v>9</v>
      </c>
      <c r="C20" s="211">
        <v>10</v>
      </c>
      <c r="D20" s="211">
        <v>11</v>
      </c>
      <c r="E20" s="211">
        <v>12</v>
      </c>
      <c r="F20" s="211">
        <v>13</v>
      </c>
      <c r="G20" s="211">
        <v>14</v>
      </c>
      <c r="H20" s="211">
        <v>15</v>
      </c>
      <c r="I20" s="25"/>
      <c r="K20" s="1" t="s">
        <v>62</v>
      </c>
      <c r="L20" s="22">
        <v>12</v>
      </c>
      <c r="M20" s="22" t="s">
        <v>149</v>
      </c>
      <c r="N20" s="22" t="s">
        <v>149</v>
      </c>
      <c r="O20" s="90">
        <f>'Daily Income-Daily Pass'!$Q$14</f>
        <v>576</v>
      </c>
      <c r="P20" s="90">
        <f>'Salaries and Daily Costs'!$S$8</f>
        <v>536.22</v>
      </c>
      <c r="Q20" s="22"/>
      <c r="R20" s="88">
        <f t="shared" si="3"/>
        <v>39.779999999999973</v>
      </c>
      <c r="T20" s="1" t="s">
        <v>64</v>
      </c>
      <c r="U20" s="22">
        <v>18</v>
      </c>
      <c r="V20" s="22">
        <f>'2019 Weather'!Q39</f>
        <v>93.55</v>
      </c>
      <c r="W20" s="22">
        <v>1</v>
      </c>
      <c r="X20" s="90">
        <f>('Daily Income-Daily Pass'!$Q$25-480)*W20*(V20/100)+480</f>
        <v>1789.7</v>
      </c>
      <c r="Y20" s="90">
        <f>'Salaries and Daily Costs'!$S$26</f>
        <v>1719.45</v>
      </c>
      <c r="Z20" s="22"/>
      <c r="AA20" s="88">
        <f t="shared" si="1"/>
        <v>70.25</v>
      </c>
      <c r="AB20" s="90"/>
      <c r="AC20" s="1" t="s">
        <v>61</v>
      </c>
      <c r="AD20" s="22">
        <v>18</v>
      </c>
      <c r="AE20" s="22">
        <f>'2019 Weather'!Z39</f>
        <v>17.5</v>
      </c>
      <c r="AF20" s="22">
        <v>1</v>
      </c>
      <c r="AG20" s="90">
        <f>('Daily Income-Daily Pass'!$Q$25-480)*AF20*(AE20/100)+480</f>
        <v>725</v>
      </c>
      <c r="AH20" s="90">
        <f>'Salaries and Daily Costs'!$S$26</f>
        <v>1719.45</v>
      </c>
      <c r="AI20" s="22"/>
      <c r="AJ20" s="88">
        <f t="shared" si="2"/>
        <v>-994.45</v>
      </c>
    </row>
    <row r="21" spans="1:36" ht="15" customHeight="1">
      <c r="A21" s="25"/>
      <c r="B21" s="211"/>
      <c r="C21" s="211"/>
      <c r="D21" s="211"/>
      <c r="E21" s="211"/>
      <c r="F21" s="211"/>
      <c r="G21" s="211"/>
      <c r="H21" s="211"/>
      <c r="I21" s="25"/>
      <c r="K21" s="1" t="s">
        <v>63</v>
      </c>
      <c r="L21" s="22">
        <v>13</v>
      </c>
      <c r="M21" s="22" t="s">
        <v>149</v>
      </c>
      <c r="N21" s="22" t="s">
        <v>149</v>
      </c>
      <c r="O21" s="90">
        <f>'Daily Income-Daily Pass'!$Q$14</f>
        <v>576</v>
      </c>
      <c r="P21" s="90">
        <f>'Salaries and Daily Costs'!$S$8</f>
        <v>536.22</v>
      </c>
      <c r="Q21" s="22"/>
      <c r="R21" s="88">
        <f t="shared" si="3"/>
        <v>39.779999999999973</v>
      </c>
      <c r="T21" s="1" t="s">
        <v>58</v>
      </c>
      <c r="U21" s="22">
        <v>19</v>
      </c>
      <c r="V21" s="22">
        <f>'2019 Weather'!Q41</f>
        <v>99.4</v>
      </c>
      <c r="W21" s="22">
        <v>1</v>
      </c>
      <c r="X21" s="90">
        <f>('Daily Income-Daily Pass'!$Q$25-480)*W21*(V21/100)+480</f>
        <v>1871.6000000000001</v>
      </c>
      <c r="Y21" s="90">
        <f>'Salaries and Daily Costs'!$S$26</f>
        <v>1719.45</v>
      </c>
      <c r="Z21" s="22"/>
      <c r="AA21" s="88">
        <f t="shared" si="1"/>
        <v>152.15000000000009</v>
      </c>
      <c r="AB21" s="90"/>
      <c r="AC21" s="1" t="s">
        <v>62</v>
      </c>
      <c r="AD21" s="22">
        <v>19</v>
      </c>
      <c r="AE21" s="22">
        <f>'2019 Weather'!Z41</f>
        <v>21.25</v>
      </c>
      <c r="AF21" s="22">
        <v>1</v>
      </c>
      <c r="AG21" s="90">
        <f>('Daily Income-Daily Pass'!$Q$25-480)*AF21*(AE21/100)+480</f>
        <v>777.5</v>
      </c>
      <c r="AH21" s="90">
        <f>'Salaries and Daily Costs'!$S$26</f>
        <v>1719.45</v>
      </c>
      <c r="AI21" s="22"/>
      <c r="AJ21" s="88">
        <f t="shared" si="2"/>
        <v>-941.95</v>
      </c>
    </row>
    <row r="22" spans="1:36" ht="15" customHeight="1">
      <c r="A22" s="25"/>
      <c r="B22" s="211">
        <v>16</v>
      </c>
      <c r="C22" s="211">
        <v>17</v>
      </c>
      <c r="D22" s="211">
        <v>18</v>
      </c>
      <c r="E22" s="211">
        <v>19</v>
      </c>
      <c r="F22" s="211">
        <v>20</v>
      </c>
      <c r="G22" s="211">
        <v>21</v>
      </c>
      <c r="H22" s="211">
        <v>22</v>
      </c>
      <c r="I22" s="25"/>
      <c r="K22" s="1" t="s">
        <v>64</v>
      </c>
      <c r="L22" s="22">
        <v>14</v>
      </c>
      <c r="M22" s="22" t="s">
        <v>149</v>
      </c>
      <c r="N22" s="22" t="s">
        <v>149</v>
      </c>
      <c r="O22" s="90">
        <f>'Daily Income-Daily Pass'!$Q$14</f>
        <v>576</v>
      </c>
      <c r="P22" s="90">
        <f>'Salaries and Daily Costs'!$S$8</f>
        <v>536.22</v>
      </c>
      <c r="Q22" s="22"/>
      <c r="R22" s="88">
        <f t="shared" si="3"/>
        <v>39.779999999999973</v>
      </c>
      <c r="T22" s="1" t="s">
        <v>59</v>
      </c>
      <c r="U22" s="22">
        <v>20</v>
      </c>
      <c r="V22" s="22">
        <f>'2019 Weather'!Q43</f>
        <v>88.75</v>
      </c>
      <c r="W22" s="22">
        <v>0.9</v>
      </c>
      <c r="X22" s="90">
        <f>('Daily Income-Daily Pass'!$Q$25-480)*W22*(V22/100)+480</f>
        <v>1598.25</v>
      </c>
      <c r="Y22" s="90">
        <f>'Salaries and Daily Costs'!$S$26</f>
        <v>1719.45</v>
      </c>
      <c r="Z22" s="22"/>
      <c r="AA22" s="88">
        <f t="shared" si="1"/>
        <v>-121.20000000000005</v>
      </c>
      <c r="AB22" s="90"/>
      <c r="AC22" s="1" t="s">
        <v>63</v>
      </c>
      <c r="AD22" s="22">
        <v>20</v>
      </c>
      <c r="AE22" s="22">
        <f>'2019 Weather'!Z43</f>
        <v>55</v>
      </c>
      <c r="AF22" s="22">
        <v>0.9</v>
      </c>
      <c r="AG22" s="90">
        <f>('Daily Income-Daily Pass'!$Q$25-480)*AF22*(AE22/100)+480</f>
        <v>1173</v>
      </c>
      <c r="AH22" s="90">
        <f>'Salaries and Daily Costs'!$S$26</f>
        <v>1719.45</v>
      </c>
      <c r="AI22" s="22"/>
      <c r="AJ22" s="88">
        <f t="shared" si="2"/>
        <v>-546.45000000000005</v>
      </c>
    </row>
    <row r="23" spans="1:36" ht="15" customHeight="1">
      <c r="A23" s="25"/>
      <c r="B23" s="211"/>
      <c r="C23" s="211"/>
      <c r="D23" s="211"/>
      <c r="E23" s="211"/>
      <c r="F23" s="211"/>
      <c r="G23" s="211"/>
      <c r="H23" s="211"/>
      <c r="I23" s="25"/>
      <c r="K23" s="1" t="s">
        <v>58</v>
      </c>
      <c r="L23" s="22">
        <v>15</v>
      </c>
      <c r="M23" s="22" t="s">
        <v>149</v>
      </c>
      <c r="N23" s="22" t="s">
        <v>149</v>
      </c>
      <c r="O23" s="90">
        <f>'Daily Income-Daily Pass'!$Q$14</f>
        <v>576</v>
      </c>
      <c r="P23" s="90">
        <f>'Salaries and Daily Costs'!$S$8</f>
        <v>536.22</v>
      </c>
      <c r="Q23" s="22"/>
      <c r="R23" s="88">
        <f t="shared" si="3"/>
        <v>39.779999999999973</v>
      </c>
      <c r="T23" s="1" t="s">
        <v>60</v>
      </c>
      <c r="U23" s="22">
        <v>21</v>
      </c>
      <c r="V23" s="22">
        <f>'2019 Weather'!Q45</f>
        <v>72.25</v>
      </c>
      <c r="W23" s="22">
        <v>0.9</v>
      </c>
      <c r="X23" s="90">
        <f>('Daily Income-Daily Pass'!$Q$25-480)*W23*(V23/100)+480</f>
        <v>1390.35</v>
      </c>
      <c r="Y23" s="90">
        <f>'Salaries and Daily Costs'!$S$26</f>
        <v>1719.45</v>
      </c>
      <c r="Z23" s="22"/>
      <c r="AA23" s="88">
        <f t="shared" si="1"/>
        <v>-329.10000000000014</v>
      </c>
      <c r="AB23" s="90"/>
      <c r="AC23" s="1" t="s">
        <v>64</v>
      </c>
      <c r="AD23" s="22">
        <v>21</v>
      </c>
      <c r="AE23" s="22">
        <f>'2019 Weather'!Z45</f>
        <v>73.75</v>
      </c>
      <c r="AF23" s="22">
        <v>0.9</v>
      </c>
      <c r="AG23" s="90">
        <f>('Daily Income-Daily Pass'!$Q$25-480)*AF23*(AE23/100)+480</f>
        <v>1409.25</v>
      </c>
      <c r="AH23" s="90">
        <f>'Salaries and Daily Costs'!$S$26</f>
        <v>1719.45</v>
      </c>
      <c r="AI23" s="22"/>
      <c r="AJ23" s="88">
        <f t="shared" si="2"/>
        <v>-310.20000000000005</v>
      </c>
    </row>
    <row r="24" spans="1:36" ht="15" customHeight="1">
      <c r="A24" s="25"/>
      <c r="B24" s="211">
        <v>23</v>
      </c>
      <c r="C24" s="211">
        <v>24</v>
      </c>
      <c r="D24" s="211">
        <v>25</v>
      </c>
      <c r="E24" s="211">
        <v>26</v>
      </c>
      <c r="F24" s="211">
        <v>27</v>
      </c>
      <c r="G24" s="211">
        <v>28</v>
      </c>
      <c r="H24" s="211">
        <v>29</v>
      </c>
      <c r="I24" s="25"/>
      <c r="K24" s="1" t="s">
        <v>59</v>
      </c>
      <c r="L24" s="22">
        <v>16</v>
      </c>
      <c r="M24" s="22" t="s">
        <v>149</v>
      </c>
      <c r="N24" s="22" t="s">
        <v>149</v>
      </c>
      <c r="O24" s="90">
        <f>'Daily Income-Daily Pass'!$Q$14</f>
        <v>576</v>
      </c>
      <c r="P24" s="90">
        <f>'Salaries and Daily Costs'!$S$8</f>
        <v>536.22</v>
      </c>
      <c r="Q24" s="22"/>
      <c r="R24" s="88">
        <f t="shared" si="3"/>
        <v>39.779999999999973</v>
      </c>
      <c r="T24" s="1" t="s">
        <v>61</v>
      </c>
      <c r="U24" s="22">
        <v>22</v>
      </c>
      <c r="V24" s="22">
        <f>'2019 Weather'!Q47</f>
        <v>74.05</v>
      </c>
      <c r="W24" s="22">
        <v>0.9</v>
      </c>
      <c r="X24" s="90">
        <f>('Daily Income-Daily Pass'!$Q$25-480)*W24*(V24/100)+480</f>
        <v>1413.03</v>
      </c>
      <c r="Y24" s="90">
        <f>'Salaries and Daily Costs'!$S$26</f>
        <v>1719.45</v>
      </c>
      <c r="Z24" s="22"/>
      <c r="AA24" s="88">
        <f t="shared" si="1"/>
        <v>-306.42000000000007</v>
      </c>
      <c r="AB24" s="90"/>
      <c r="AC24" s="1" t="s">
        <v>58</v>
      </c>
      <c r="AD24" s="22">
        <v>22</v>
      </c>
      <c r="AE24" s="22">
        <f>'2019 Weather'!Z47</f>
        <v>88.75</v>
      </c>
      <c r="AF24" s="22">
        <v>0.9</v>
      </c>
      <c r="AG24" s="90">
        <f>('Daily Income-Daily Pass'!$Q$25-480)*AF24*(AE24/100)+480</f>
        <v>1598.25</v>
      </c>
      <c r="AH24" s="90">
        <f>'Salaries and Daily Costs'!$S$26</f>
        <v>1719.45</v>
      </c>
      <c r="AI24" s="22"/>
      <c r="AJ24" s="88">
        <f t="shared" si="2"/>
        <v>-121.20000000000005</v>
      </c>
    </row>
    <row r="25" spans="1:36" ht="15" customHeight="1">
      <c r="A25" s="25"/>
      <c r="B25" s="211"/>
      <c r="C25" s="211"/>
      <c r="D25" s="211"/>
      <c r="E25" s="211"/>
      <c r="F25" s="211"/>
      <c r="G25" s="211"/>
      <c r="H25" s="211"/>
      <c r="I25" s="25"/>
      <c r="K25" s="1" t="s">
        <v>60</v>
      </c>
      <c r="L25" s="22">
        <v>17</v>
      </c>
      <c r="M25" s="22">
        <f>'2019 Weather'!H37</f>
        <v>82</v>
      </c>
      <c r="N25" s="22">
        <v>0.9</v>
      </c>
      <c r="O25" s="90">
        <f>('Daily Income-Daily Pass'!$Q$25-480)*N25*(M25/100)+480</f>
        <v>1513.2</v>
      </c>
      <c r="P25" s="90">
        <f>'Salaries and Daily Costs'!$S$26</f>
        <v>1719.45</v>
      </c>
      <c r="Q25" s="22"/>
      <c r="R25" s="88">
        <f t="shared" si="3"/>
        <v>-206.25</v>
      </c>
      <c r="T25" s="1" t="s">
        <v>62</v>
      </c>
      <c r="U25" s="22">
        <v>23</v>
      </c>
      <c r="V25" s="22">
        <f>'2019 Weather'!Q49</f>
        <v>28.75</v>
      </c>
      <c r="W25" s="22">
        <v>0.9</v>
      </c>
      <c r="X25" s="90">
        <f>('Daily Income-Daily Pass'!$Q$25-480)*W25*(V25/100)+480</f>
        <v>842.25</v>
      </c>
      <c r="Y25" s="90">
        <f>'Salaries and Daily Costs'!$S$26</f>
        <v>1719.45</v>
      </c>
      <c r="Z25" s="22"/>
      <c r="AA25" s="88">
        <f t="shared" si="1"/>
        <v>-877.2</v>
      </c>
      <c r="AB25" s="90"/>
      <c r="AC25" s="1" t="s">
        <v>59</v>
      </c>
      <c r="AD25" s="22">
        <v>23</v>
      </c>
      <c r="AE25" s="22">
        <f>'2019 Weather'!Z49</f>
        <v>90.4</v>
      </c>
      <c r="AF25" s="22">
        <v>0.9</v>
      </c>
      <c r="AG25" s="90">
        <f>('Daily Income-Daily Pass'!$Q$25-480)*AF25*(AE25/100)+480</f>
        <v>1619.04</v>
      </c>
      <c r="AH25" s="90">
        <f>'Salaries and Daily Costs'!$S$26</f>
        <v>1719.45</v>
      </c>
      <c r="AI25" s="22"/>
      <c r="AJ25" s="88">
        <f t="shared" si="2"/>
        <v>-100.41000000000008</v>
      </c>
    </row>
    <row r="26" spans="1:36">
      <c r="A26" s="25"/>
      <c r="B26" s="211">
        <v>30</v>
      </c>
      <c r="C26" s="211">
        <v>31</v>
      </c>
      <c r="D26" s="211"/>
      <c r="E26" s="211"/>
      <c r="F26" s="211"/>
      <c r="G26" s="211"/>
      <c r="H26" s="211"/>
      <c r="I26" s="25"/>
      <c r="K26" s="1" t="s">
        <v>61</v>
      </c>
      <c r="L26" s="22">
        <v>18</v>
      </c>
      <c r="M26" s="22">
        <f>'2019 Weather'!H39</f>
        <v>27.099999999999998</v>
      </c>
      <c r="N26" s="22">
        <v>1</v>
      </c>
      <c r="O26" s="90">
        <f>('Daily Income-Daily Pass'!$Q$25-480)*N26*(M26/100)+480</f>
        <v>859.39999999999986</v>
      </c>
      <c r="P26" s="90">
        <f>'Salaries and Daily Costs'!$S$26</f>
        <v>1719.45</v>
      </c>
      <c r="Q26" s="22"/>
      <c r="R26" s="88">
        <f t="shared" si="3"/>
        <v>-860.05000000000018</v>
      </c>
      <c r="T26" s="1" t="s">
        <v>63</v>
      </c>
      <c r="U26" s="22">
        <v>24</v>
      </c>
      <c r="V26" s="22">
        <f>'2019 Weather'!Q51</f>
        <v>28.75</v>
      </c>
      <c r="W26" s="22">
        <v>0.9</v>
      </c>
      <c r="X26" s="90">
        <f>('Daily Income-Daily Pass'!$Q$25-480)*W26*(V26/100)+480</f>
        <v>842.25</v>
      </c>
      <c r="Y26" s="90">
        <f>'Salaries and Daily Costs'!$S$26</f>
        <v>1719.45</v>
      </c>
      <c r="Z26" s="22"/>
      <c r="AA26" s="88">
        <f t="shared" si="1"/>
        <v>-877.2</v>
      </c>
      <c r="AB26" s="90"/>
      <c r="AC26" s="1" t="s">
        <v>60</v>
      </c>
      <c r="AD26" s="22">
        <v>24</v>
      </c>
      <c r="AE26" s="22">
        <f>'2019 Weather'!Z51</f>
        <v>40</v>
      </c>
      <c r="AF26" s="22">
        <v>0.9</v>
      </c>
      <c r="AG26" s="90">
        <f>('Daily Income-Daily Pass'!$Q$25-480)*AF26*(AE26/100)+480</f>
        <v>984</v>
      </c>
      <c r="AH26" s="90">
        <f>'Salaries and Daily Costs'!$S$26</f>
        <v>1719.45</v>
      </c>
      <c r="AI26" s="22"/>
      <c r="AJ26" s="88">
        <f t="shared" si="2"/>
        <v>-735.45</v>
      </c>
    </row>
    <row r="27" spans="1:36">
      <c r="A27" s="25"/>
      <c r="B27" s="211"/>
      <c r="C27" s="211"/>
      <c r="D27" s="211"/>
      <c r="E27" s="211"/>
      <c r="F27" s="211"/>
      <c r="G27" s="211"/>
      <c r="H27" s="211"/>
      <c r="I27" s="25"/>
      <c r="K27" s="1" t="s">
        <v>62</v>
      </c>
      <c r="L27" s="22">
        <v>19</v>
      </c>
      <c r="M27" s="22">
        <f>'2019 Weather'!H41</f>
        <v>96.25</v>
      </c>
      <c r="N27" s="22">
        <v>1</v>
      </c>
      <c r="O27" s="90">
        <f>('Daily Income-Daily Pass'!$Q$25-480)*N27*(M27/100)+480</f>
        <v>1827.5</v>
      </c>
      <c r="P27" s="90">
        <f>'Salaries and Daily Costs'!$S$26</f>
        <v>1719.45</v>
      </c>
      <c r="Q27" s="22"/>
      <c r="R27" s="88">
        <f t="shared" si="3"/>
        <v>108.04999999999995</v>
      </c>
      <c r="T27" s="1" t="s">
        <v>64</v>
      </c>
      <c r="U27" s="22">
        <v>25</v>
      </c>
      <c r="V27" s="22">
        <f>'2019 Weather'!Q53</f>
        <v>35.950000000000003</v>
      </c>
      <c r="W27" s="22">
        <v>1</v>
      </c>
      <c r="X27" s="90">
        <f>('Daily Income-Daily Pass'!$Q$25-480)*W27*(V27/100)+480</f>
        <v>983.30000000000007</v>
      </c>
      <c r="Y27" s="90">
        <f>'Salaries and Daily Costs'!$S$26</f>
        <v>1719.45</v>
      </c>
      <c r="Z27" s="22"/>
      <c r="AA27" s="88">
        <f t="shared" si="1"/>
        <v>-736.15</v>
      </c>
      <c r="AB27" s="90"/>
      <c r="AC27" s="1" t="s">
        <v>61</v>
      </c>
      <c r="AD27" s="22">
        <v>25</v>
      </c>
      <c r="AE27" s="22">
        <f>'2019 Weather'!Z53</f>
        <v>51.25</v>
      </c>
      <c r="AF27" s="22">
        <v>1</v>
      </c>
      <c r="AG27" s="90">
        <f>('Daily Income-Daily Pass'!$Q$25-480)*AF27*(AE27/100)+480</f>
        <v>1197.5</v>
      </c>
      <c r="AH27" s="90">
        <f>'Salaries and Daily Costs'!$S$26</f>
        <v>1719.45</v>
      </c>
      <c r="AI27" s="22"/>
      <c r="AJ27" s="88">
        <f t="shared" si="2"/>
        <v>-521.95000000000005</v>
      </c>
    </row>
    <row r="28" spans="1:36" ht="15.75" thickBot="1">
      <c r="A28" s="25"/>
      <c r="B28" s="25"/>
      <c r="C28" s="25"/>
      <c r="D28" s="25"/>
      <c r="E28" s="25"/>
      <c r="F28" s="25"/>
      <c r="G28" s="25"/>
      <c r="H28" s="25"/>
      <c r="I28" s="25"/>
      <c r="K28" s="1" t="s">
        <v>63</v>
      </c>
      <c r="L28" s="22">
        <v>20</v>
      </c>
      <c r="M28" s="22">
        <f>'2019 Weather'!H43</f>
        <v>107.5</v>
      </c>
      <c r="N28" s="22">
        <v>0.9</v>
      </c>
      <c r="O28" s="90">
        <f>('Daily Income-Daily Pass'!$Q$25-480)*N28*(M28/100)+480</f>
        <v>1834.5</v>
      </c>
      <c r="P28" s="90">
        <f>'Salaries and Daily Costs'!$S$26</f>
        <v>1719.45</v>
      </c>
      <c r="Q28" s="22"/>
      <c r="R28" s="88">
        <f t="shared" si="3"/>
        <v>115.04999999999995</v>
      </c>
      <c r="T28" s="1" t="s">
        <v>58</v>
      </c>
      <c r="U28" s="22">
        <v>26</v>
      </c>
      <c r="V28" s="22">
        <f>'2019 Weather'!Q55</f>
        <v>28.75</v>
      </c>
      <c r="W28" s="22">
        <v>1</v>
      </c>
      <c r="X28" s="90">
        <f>('Daily Income-Daily Pass'!$Q$25-480)*W28*(V28/100)+480</f>
        <v>882.5</v>
      </c>
      <c r="Y28" s="90">
        <f>'Salaries and Daily Costs'!$S$26</f>
        <v>1719.45</v>
      </c>
      <c r="Z28" s="22"/>
      <c r="AA28" s="88">
        <f t="shared" si="1"/>
        <v>-836.95</v>
      </c>
      <c r="AB28" s="90"/>
      <c r="AC28" s="1" t="s">
        <v>62</v>
      </c>
      <c r="AD28" s="22">
        <v>26</v>
      </c>
      <c r="AE28" s="22">
        <f>'2019 Weather'!Z55</f>
        <v>54.7</v>
      </c>
      <c r="AF28" s="22">
        <v>1</v>
      </c>
      <c r="AG28" s="90">
        <f>('Daily Income-Daily Pass'!$Q$25-480)*AF28*(AE28/100)+480</f>
        <v>1245.8000000000002</v>
      </c>
      <c r="AH28" s="90">
        <f>'Salaries and Daily Costs'!$S$26</f>
        <v>1719.45</v>
      </c>
      <c r="AI28" s="22"/>
      <c r="AJ28" s="88">
        <f t="shared" si="2"/>
        <v>-473.64999999999986</v>
      </c>
    </row>
    <row r="29" spans="1:36">
      <c r="A29" s="25"/>
      <c r="B29" s="213" t="s">
        <v>57</v>
      </c>
      <c r="C29" s="214"/>
      <c r="D29" s="214"/>
      <c r="E29" s="214"/>
      <c r="F29" s="214"/>
      <c r="G29" s="214"/>
      <c r="H29" s="215"/>
      <c r="I29" s="25"/>
      <c r="K29" s="1" t="s">
        <v>64</v>
      </c>
      <c r="L29" s="22">
        <v>21</v>
      </c>
      <c r="M29" s="22">
        <f>'2019 Weather'!H45</f>
        <v>115</v>
      </c>
      <c r="N29" s="22">
        <v>0.9</v>
      </c>
      <c r="O29" s="90">
        <f>('Daily Income-Daily Pass'!$Q$25-480)*N29*(M29/100)+480</f>
        <v>1929</v>
      </c>
      <c r="P29" s="90">
        <f>'Salaries and Daily Costs'!$S$26</f>
        <v>1719.45</v>
      </c>
      <c r="Q29" s="22"/>
      <c r="R29" s="88">
        <f t="shared" si="3"/>
        <v>209.54999999999995</v>
      </c>
      <c r="T29" s="1" t="s">
        <v>59</v>
      </c>
      <c r="U29" s="22">
        <v>27</v>
      </c>
      <c r="V29" s="22">
        <f>'2019 Weather'!Q57</f>
        <v>43.75</v>
      </c>
      <c r="W29" s="22">
        <v>0.9</v>
      </c>
      <c r="X29" s="90">
        <f>('Daily Income-Daily Pass'!$Q$25-480)*W29*(V29/100)+480</f>
        <v>1031.25</v>
      </c>
      <c r="Y29" s="90">
        <f>'Salaries and Daily Costs'!$S$26</f>
        <v>1719.45</v>
      </c>
      <c r="Z29" s="22"/>
      <c r="AA29" s="88">
        <f t="shared" si="1"/>
        <v>-688.2</v>
      </c>
      <c r="AB29" s="90"/>
      <c r="AC29" s="1" t="s">
        <v>63</v>
      </c>
      <c r="AD29" s="22">
        <v>27</v>
      </c>
      <c r="AE29" s="22">
        <f>'2019 Weather'!Z57</f>
        <v>40</v>
      </c>
      <c r="AF29" s="22">
        <v>0.9</v>
      </c>
      <c r="AG29" s="90">
        <f>('Daily Income-Daily Pass'!$Q$25-480)*AF29*(AE29/100)+480</f>
        <v>984</v>
      </c>
      <c r="AH29" s="90">
        <f>'Salaries and Daily Costs'!$S$26</f>
        <v>1719.45</v>
      </c>
      <c r="AI29" s="22"/>
      <c r="AJ29" s="88">
        <f t="shared" si="2"/>
        <v>-735.45</v>
      </c>
    </row>
    <row r="30" spans="1:36" ht="15.75" thickBot="1">
      <c r="A30" s="25"/>
      <c r="B30" s="3" t="s">
        <v>48</v>
      </c>
      <c r="C30" s="23" t="s">
        <v>49</v>
      </c>
      <c r="D30" s="23" t="s">
        <v>50</v>
      </c>
      <c r="E30" s="23" t="s">
        <v>51</v>
      </c>
      <c r="F30" s="23" t="s">
        <v>52</v>
      </c>
      <c r="G30" s="23" t="s">
        <v>53</v>
      </c>
      <c r="H30" s="4" t="s">
        <v>54</v>
      </c>
      <c r="I30" s="25"/>
      <c r="K30" s="1" t="s">
        <v>58</v>
      </c>
      <c r="L30" s="22">
        <v>22</v>
      </c>
      <c r="M30" s="22">
        <f>'2019 Weather'!H47</f>
        <v>4.9000000000000057</v>
      </c>
      <c r="N30" s="22">
        <v>0.9</v>
      </c>
      <c r="O30" s="90">
        <f>('Daily Income-Daily Pass'!$Q$25-480)*N30*(M30/100)+480</f>
        <v>541.74000000000012</v>
      </c>
      <c r="P30" s="90">
        <f>'Salaries and Daily Costs'!$S$26</f>
        <v>1719.45</v>
      </c>
      <c r="Q30" s="22"/>
      <c r="R30" s="88">
        <f t="shared" si="3"/>
        <v>-1177.71</v>
      </c>
      <c r="T30" s="1" t="s">
        <v>60</v>
      </c>
      <c r="U30" s="22">
        <v>28</v>
      </c>
      <c r="V30" s="22">
        <f>'2019 Weather'!Q59</f>
        <v>44.5</v>
      </c>
      <c r="W30" s="22">
        <v>0.9</v>
      </c>
      <c r="X30" s="90">
        <f>('Daily Income-Daily Pass'!$Q$25-480)*W30*(V30/100)+480</f>
        <v>1040.7</v>
      </c>
      <c r="Y30" s="90">
        <f>'Salaries and Daily Costs'!$S$26</f>
        <v>1719.45</v>
      </c>
      <c r="Z30" s="22"/>
      <c r="AA30" s="88">
        <f t="shared" si="1"/>
        <v>-678.75</v>
      </c>
      <c r="AB30" s="90"/>
      <c r="AC30" s="1" t="s">
        <v>64</v>
      </c>
      <c r="AD30" s="22">
        <v>28</v>
      </c>
      <c r="AE30" s="22">
        <f>'2019 Weather'!Z59</f>
        <v>70</v>
      </c>
      <c r="AF30" s="22">
        <v>0.9</v>
      </c>
      <c r="AG30" s="90">
        <f>('Daily Income-Daily Pass'!$Q$25-480)*AF30*(AE30/100)+480</f>
        <v>1362</v>
      </c>
      <c r="AH30" s="90">
        <f>'Salaries and Daily Costs'!$S$26</f>
        <v>1719.45</v>
      </c>
      <c r="AI30" s="22"/>
      <c r="AJ30" s="88">
        <f t="shared" si="2"/>
        <v>-357.45000000000005</v>
      </c>
    </row>
    <row r="31" spans="1:36">
      <c r="A31" s="25"/>
      <c r="B31" s="212"/>
      <c r="C31" s="212"/>
      <c r="D31" s="212">
        <v>1</v>
      </c>
      <c r="E31" s="212">
        <v>2</v>
      </c>
      <c r="F31" s="212">
        <v>3</v>
      </c>
      <c r="G31" s="212">
        <v>4</v>
      </c>
      <c r="H31" s="212">
        <v>5</v>
      </c>
      <c r="I31" s="25"/>
      <c r="K31" s="1" t="s">
        <v>59</v>
      </c>
      <c r="L31" s="22">
        <v>23</v>
      </c>
      <c r="M31" s="22">
        <f>'2019 Weather'!H49</f>
        <v>21.25</v>
      </c>
      <c r="N31" s="22">
        <v>0.9</v>
      </c>
      <c r="O31" s="90">
        <f>('Daily Income-Daily Pass'!$Q$25-480)*N31*(M31/100)+480</f>
        <v>747.75</v>
      </c>
      <c r="P31" s="90">
        <f>'Salaries and Daily Costs'!$S$26</f>
        <v>1719.45</v>
      </c>
      <c r="Q31" s="22"/>
      <c r="R31" s="88">
        <f t="shared" si="3"/>
        <v>-971.7</v>
      </c>
      <c r="T31" s="1" t="s">
        <v>61</v>
      </c>
      <c r="U31" s="22">
        <v>29</v>
      </c>
      <c r="V31" s="22">
        <f>'2019 Weather'!Q61</f>
        <v>62.5</v>
      </c>
      <c r="W31" s="22">
        <v>0.9</v>
      </c>
      <c r="X31" s="90">
        <f>('Daily Income-Daily Pass'!$Q$25-480)*W31*(V31/100)+480</f>
        <v>1267.5</v>
      </c>
      <c r="Y31" s="90">
        <f>'Salaries and Daily Costs'!$S$26</f>
        <v>1719.45</v>
      </c>
      <c r="Z31" s="22"/>
      <c r="AA31" s="88">
        <f t="shared" si="1"/>
        <v>-451.95000000000005</v>
      </c>
      <c r="AB31" s="90"/>
      <c r="AC31" s="1" t="s">
        <v>58</v>
      </c>
      <c r="AD31" s="22">
        <v>29</v>
      </c>
      <c r="AE31" s="22">
        <f>'2019 Weather'!Z61</f>
        <v>47.5</v>
      </c>
      <c r="AF31" s="22">
        <v>0.9</v>
      </c>
      <c r="AG31" s="90">
        <f>('Daily Income-Daily Pass'!$Q$25-480)*AF31*(AE31/100)+480</f>
        <v>1078.5</v>
      </c>
      <c r="AH31" s="90">
        <f>'Salaries and Daily Costs'!$S$26</f>
        <v>1719.45</v>
      </c>
      <c r="AI31" s="22"/>
      <c r="AJ31" s="88">
        <f t="shared" si="2"/>
        <v>-640.95000000000005</v>
      </c>
    </row>
    <row r="32" spans="1:36" ht="15.75" thickBot="1">
      <c r="A32" s="25"/>
      <c r="B32" s="211"/>
      <c r="C32" s="211"/>
      <c r="D32" s="211"/>
      <c r="E32" s="211"/>
      <c r="F32" s="211"/>
      <c r="G32" s="211"/>
      <c r="H32" s="211"/>
      <c r="I32" s="25"/>
      <c r="K32" s="1" t="s">
        <v>60</v>
      </c>
      <c r="L32" s="22">
        <v>24</v>
      </c>
      <c r="M32" s="22">
        <f>'2019 Weather'!H51</f>
        <v>62.2</v>
      </c>
      <c r="N32" s="22">
        <v>0.9</v>
      </c>
      <c r="O32" s="90">
        <f>('Daily Income-Daily Pass'!$Q$25-480)*N32*(M32/100)+480</f>
        <v>1263.72</v>
      </c>
      <c r="P32" s="90">
        <f>'Salaries and Daily Costs'!$S$26</f>
        <v>1719.45</v>
      </c>
      <c r="Q32" s="22"/>
      <c r="R32" s="88">
        <f t="shared" si="3"/>
        <v>-455.73</v>
      </c>
      <c r="T32" s="1" t="s">
        <v>62</v>
      </c>
      <c r="U32" s="22">
        <v>30</v>
      </c>
      <c r="V32" s="22">
        <f>'2019 Weather'!Q63</f>
        <v>81.25</v>
      </c>
      <c r="W32" s="22">
        <v>0.9</v>
      </c>
      <c r="X32" s="90">
        <f>('Daily Income-Daily Pass'!$Q$25-480)*W32*(V32/100)+480</f>
        <v>1503.75</v>
      </c>
      <c r="Y32" s="90">
        <f>'Salaries and Daily Costs'!$S$26</f>
        <v>1719.45</v>
      </c>
      <c r="Z32" s="22"/>
      <c r="AA32" s="88">
        <f t="shared" si="1"/>
        <v>-215.70000000000005</v>
      </c>
      <c r="AB32" s="90"/>
      <c r="AC32" s="3" t="s">
        <v>59</v>
      </c>
      <c r="AD32" s="23">
        <v>30</v>
      </c>
      <c r="AE32" s="23">
        <f>'2019 Weather'!Z63</f>
        <v>13.75</v>
      </c>
      <c r="AF32" s="23">
        <v>0.9</v>
      </c>
      <c r="AG32" s="90">
        <f>('Daily Income-Daily Pass'!$Q$25-480)*AF32*(AE32/100)+480</f>
        <v>653.25</v>
      </c>
      <c r="AH32" s="102">
        <f>'Salaries and Daily Costs'!$S$26</f>
        <v>1719.45</v>
      </c>
      <c r="AI32" s="23"/>
      <c r="AJ32" s="103">
        <f t="shared" si="2"/>
        <v>-1066.2</v>
      </c>
    </row>
    <row r="33" spans="1:36" ht="15.75" thickBot="1">
      <c r="A33" s="25"/>
      <c r="B33" s="211">
        <v>6</v>
      </c>
      <c r="C33" s="211">
        <v>7</v>
      </c>
      <c r="D33" s="211">
        <v>8</v>
      </c>
      <c r="E33" s="211">
        <v>9</v>
      </c>
      <c r="F33" s="211">
        <v>10</v>
      </c>
      <c r="G33" s="211">
        <v>11</v>
      </c>
      <c r="H33" s="211">
        <v>12</v>
      </c>
      <c r="I33" s="25"/>
      <c r="K33" s="1" t="s">
        <v>61</v>
      </c>
      <c r="L33" s="22">
        <v>25</v>
      </c>
      <c r="M33" s="22">
        <f>'2019 Weather'!H53</f>
        <v>66.25</v>
      </c>
      <c r="N33" s="22">
        <v>1</v>
      </c>
      <c r="O33" s="90">
        <f>('Daily Income-Daily Pass'!$Q$25-480)*N33*(M33/100)+480</f>
        <v>1407.5</v>
      </c>
      <c r="P33" s="90">
        <f>'Salaries and Daily Costs'!$S$26</f>
        <v>1719.45</v>
      </c>
      <c r="Q33" s="22"/>
      <c r="R33" s="88">
        <f t="shared" si="3"/>
        <v>-311.95000000000005</v>
      </c>
      <c r="T33" s="1" t="s">
        <v>63</v>
      </c>
      <c r="U33" s="23">
        <v>31</v>
      </c>
      <c r="V33" s="23">
        <f>'2019 Weather'!Q65</f>
        <v>51.25</v>
      </c>
      <c r="W33" s="23">
        <v>0.9</v>
      </c>
      <c r="X33" s="90">
        <f>('Daily Income-Daily Pass'!$Q$25-480)*W33*(V33/100)+480</f>
        <v>1125.75</v>
      </c>
      <c r="Y33" s="102">
        <f>'Salaries and Daily Costs'!$S$26</f>
        <v>1719.45</v>
      </c>
      <c r="Z33" s="23"/>
      <c r="AA33" s="103">
        <f t="shared" si="1"/>
        <v>-593.70000000000005</v>
      </c>
      <c r="AB33" s="142"/>
      <c r="AG33" s="52"/>
      <c r="AI33" s="61" t="s">
        <v>23</v>
      </c>
      <c r="AJ33" s="143">
        <f>SUM(AJ2:AJ32)</f>
        <v>-18514.220000000008</v>
      </c>
    </row>
    <row r="34" spans="1:36" ht="15.75" thickBot="1">
      <c r="A34" s="25"/>
      <c r="B34" s="211"/>
      <c r="C34" s="211"/>
      <c r="D34" s="211"/>
      <c r="E34" s="211"/>
      <c r="F34" s="211"/>
      <c r="G34" s="211"/>
      <c r="H34" s="211"/>
      <c r="I34" s="25"/>
      <c r="K34" s="1" t="s">
        <v>62</v>
      </c>
      <c r="L34" s="22">
        <v>26</v>
      </c>
      <c r="M34" s="22">
        <f>'2019 Weather'!H55</f>
        <v>73.75</v>
      </c>
      <c r="N34" s="22">
        <v>1</v>
      </c>
      <c r="O34" s="90">
        <f>('Daily Income-Daily Pass'!$Q$25-480)*N34*(M34/100)+480</f>
        <v>1512.5</v>
      </c>
      <c r="P34" s="90">
        <f>'Salaries and Daily Costs'!$S$26</f>
        <v>1719.45</v>
      </c>
      <c r="Q34" s="22"/>
      <c r="R34" s="88">
        <f t="shared" si="3"/>
        <v>-206.95000000000005</v>
      </c>
      <c r="W34" s="28"/>
      <c r="X34" s="176">
        <f>SUM(X3:X33)</f>
        <v>39731.469999999994</v>
      </c>
      <c r="Y34" s="76">
        <f>SUM(Y3:Y33)</f>
        <v>53302.949999999975</v>
      </c>
      <c r="Z34" s="61" t="s">
        <v>23</v>
      </c>
      <c r="AA34" s="143">
        <f>SUM(AA3:AA33)</f>
        <v>-13571.480000000003</v>
      </c>
      <c r="AB34" s="22"/>
    </row>
    <row r="35" spans="1:36">
      <c r="A35" s="25"/>
      <c r="B35" s="211">
        <v>13</v>
      </c>
      <c r="C35" s="211">
        <v>14</v>
      </c>
      <c r="D35" s="211">
        <v>15</v>
      </c>
      <c r="E35" s="211">
        <v>16</v>
      </c>
      <c r="F35" s="211">
        <v>17</v>
      </c>
      <c r="G35" s="211">
        <v>18</v>
      </c>
      <c r="H35" s="211">
        <v>19</v>
      </c>
      <c r="I35" s="25"/>
      <c r="K35" s="1" t="s">
        <v>63</v>
      </c>
      <c r="L35" s="22">
        <v>27</v>
      </c>
      <c r="M35" s="22">
        <f>'2019 Weather'!H57</f>
        <v>81.25</v>
      </c>
      <c r="N35" s="22">
        <v>0.9</v>
      </c>
      <c r="O35" s="90">
        <f>('Daily Income-Daily Pass'!$Q$25-480)*N35*(M35/100)+480</f>
        <v>1503.75</v>
      </c>
      <c r="P35" s="90">
        <f>'Salaries and Daily Costs'!$S$26</f>
        <v>1719.45</v>
      </c>
      <c r="Q35" s="22"/>
      <c r="R35" s="88">
        <f t="shared" si="3"/>
        <v>-215.70000000000005</v>
      </c>
    </row>
    <row r="36" spans="1:36">
      <c r="A36" s="25"/>
      <c r="B36" s="211"/>
      <c r="C36" s="211"/>
      <c r="D36" s="211"/>
      <c r="E36" s="211"/>
      <c r="F36" s="211"/>
      <c r="G36" s="211"/>
      <c r="H36" s="211"/>
      <c r="I36" s="25"/>
      <c r="K36" s="1" t="s">
        <v>64</v>
      </c>
      <c r="L36" s="22">
        <v>28</v>
      </c>
      <c r="M36" s="22">
        <f>'2019 Weather'!H59</f>
        <v>88.45</v>
      </c>
      <c r="N36" s="22">
        <v>0.9</v>
      </c>
      <c r="O36" s="90">
        <f>('Daily Income-Daily Pass'!$Q$25-480)*N36*(M36/100)+480</f>
        <v>1594.47</v>
      </c>
      <c r="P36" s="90">
        <f>'Salaries and Daily Costs'!$S$26</f>
        <v>1719.45</v>
      </c>
      <c r="Q36" s="22"/>
      <c r="R36" s="88">
        <f t="shared" si="3"/>
        <v>-124.98000000000002</v>
      </c>
    </row>
    <row r="37" spans="1:36">
      <c r="A37" s="25"/>
      <c r="B37" s="211">
        <v>20</v>
      </c>
      <c r="C37" s="211">
        <v>21</v>
      </c>
      <c r="D37" s="211">
        <v>22</v>
      </c>
      <c r="E37" s="211">
        <v>23</v>
      </c>
      <c r="F37" s="211">
        <v>24</v>
      </c>
      <c r="G37" s="211">
        <v>25</v>
      </c>
      <c r="H37" s="211">
        <v>26</v>
      </c>
      <c r="I37" s="25"/>
      <c r="K37" s="1" t="s">
        <v>58</v>
      </c>
      <c r="L37" s="22">
        <v>29</v>
      </c>
      <c r="M37" s="22">
        <f>'2019 Weather'!H61</f>
        <v>92.5</v>
      </c>
      <c r="N37" s="22">
        <v>0.9</v>
      </c>
      <c r="O37" s="90">
        <f>('Daily Income-Daily Pass'!$Q$25-480)*N37*(M37/100)+480</f>
        <v>1645.5</v>
      </c>
      <c r="P37" s="90">
        <f>'Salaries and Daily Costs'!$S$26</f>
        <v>1719.45</v>
      </c>
      <c r="Q37" s="22"/>
      <c r="R37" s="88">
        <f t="shared" si="3"/>
        <v>-73.950000000000045</v>
      </c>
    </row>
    <row r="38" spans="1:36">
      <c r="A38" s="25"/>
      <c r="B38" s="211"/>
      <c r="C38" s="211"/>
      <c r="D38" s="211"/>
      <c r="E38" s="211"/>
      <c r="F38" s="211"/>
      <c r="G38" s="211"/>
      <c r="H38" s="211"/>
      <c r="I38" s="25"/>
      <c r="K38" s="1" t="s">
        <v>59</v>
      </c>
      <c r="L38" s="22">
        <v>30</v>
      </c>
      <c r="M38" s="22">
        <f>'2019 Weather'!H63</f>
        <v>103.75</v>
      </c>
      <c r="N38" s="22">
        <v>0.9</v>
      </c>
      <c r="O38" s="90">
        <f>('Daily Income-Daily Pass'!$Q$25-480)*N38*(M38/100)+480</f>
        <v>1787.25</v>
      </c>
      <c r="P38" s="90">
        <f>'Salaries and Daily Costs'!$S$26</f>
        <v>1719.45</v>
      </c>
      <c r="Q38" s="22"/>
      <c r="R38" s="88">
        <f t="shared" si="3"/>
        <v>67.799999999999955</v>
      </c>
    </row>
    <row r="39" spans="1:36" ht="15.75" thickBot="1">
      <c r="A39" s="25"/>
      <c r="B39" s="211">
        <v>27</v>
      </c>
      <c r="C39" s="211">
        <v>28</v>
      </c>
      <c r="D39" s="211">
        <v>29</v>
      </c>
      <c r="E39" s="211">
        <v>30</v>
      </c>
      <c r="F39" s="211"/>
      <c r="G39" s="211"/>
      <c r="H39" s="211"/>
      <c r="I39" s="25"/>
      <c r="K39" s="3" t="s">
        <v>60</v>
      </c>
      <c r="L39" s="23">
        <v>31</v>
      </c>
      <c r="M39" s="23">
        <f>'2019 Weather'!H65</f>
        <v>69.55</v>
      </c>
      <c r="N39" s="23">
        <v>0.9</v>
      </c>
      <c r="O39" s="90">
        <f>('Daily Income-Daily Pass'!$Q$25-480)*N39*(M39/100)+480</f>
        <v>1356.33</v>
      </c>
      <c r="P39" s="102">
        <f>'Salaries and Daily Costs'!$S$26</f>
        <v>1719.45</v>
      </c>
      <c r="Q39" s="23"/>
      <c r="R39" s="103">
        <f t="shared" si="3"/>
        <v>-363.12000000000012</v>
      </c>
    </row>
    <row r="40" spans="1:36" ht="15.75" thickBot="1">
      <c r="A40" s="25"/>
      <c r="B40" s="211"/>
      <c r="C40" s="211"/>
      <c r="D40" s="211"/>
      <c r="E40" s="211"/>
      <c r="F40" s="211"/>
      <c r="G40" s="211"/>
      <c r="H40" s="211"/>
      <c r="I40" s="25"/>
      <c r="O40" s="176">
        <f>SUM(O9:O39)</f>
        <v>30540.11</v>
      </c>
      <c r="P40" s="76">
        <f>SUM(P9:P39)</f>
        <v>34371.270000000011</v>
      </c>
      <c r="Q40" s="61" t="s">
        <v>23</v>
      </c>
      <c r="R40" s="143">
        <f>SUM(R9:R39)</f>
        <v>-3831.1600000000008</v>
      </c>
      <c r="S40" s="34"/>
      <c r="T40" s="33"/>
    </row>
    <row r="41" spans="1:36">
      <c r="A41" s="25"/>
      <c r="B41" s="25"/>
      <c r="C41" s="25"/>
      <c r="D41" s="25"/>
      <c r="E41" s="25"/>
      <c r="F41" s="25"/>
      <c r="G41" s="25"/>
      <c r="H41" s="25"/>
      <c r="I41" s="25"/>
    </row>
    <row r="42" spans="1:36">
      <c r="A42" s="25"/>
      <c r="B42" s="25"/>
      <c r="C42" s="25"/>
      <c r="D42" s="25"/>
      <c r="E42" s="25"/>
      <c r="F42" s="25"/>
      <c r="G42" s="25"/>
      <c r="H42" s="25"/>
      <c r="I42" s="25"/>
    </row>
    <row r="43" spans="1:36">
      <c r="K43" s="177" t="s">
        <v>139</v>
      </c>
      <c r="L43" s="177"/>
    </row>
    <row r="44" spans="1:36">
      <c r="K44" t="s">
        <v>140</v>
      </c>
    </row>
    <row r="1048576" spans="16:16">
      <c r="P1048576" s="97"/>
    </row>
  </sheetData>
  <mergeCells count="119">
    <mergeCell ref="K7:R7"/>
    <mergeCell ref="T1:AA1"/>
    <mergeCell ref="AC1:AJ1"/>
    <mergeCell ref="B1:H1"/>
    <mergeCell ref="B14:H14"/>
    <mergeCell ref="B9:B10"/>
    <mergeCell ref="C9:C10"/>
    <mergeCell ref="D9:D10"/>
    <mergeCell ref="E9:E10"/>
    <mergeCell ref="F9:F10"/>
    <mergeCell ref="G9:G10"/>
    <mergeCell ref="H9:H10"/>
    <mergeCell ref="B11:B12"/>
    <mergeCell ref="C11:C12"/>
    <mergeCell ref="D11:D12"/>
    <mergeCell ref="E11:E12"/>
    <mergeCell ref="H7:H8"/>
    <mergeCell ref="K1:R1"/>
    <mergeCell ref="B29:H29"/>
    <mergeCell ref="B3:B4"/>
    <mergeCell ref="C3:C4"/>
    <mergeCell ref="D3:D4"/>
    <mergeCell ref="E3:E4"/>
    <mergeCell ref="F3:F4"/>
    <mergeCell ref="G3:G4"/>
    <mergeCell ref="H3:H4"/>
    <mergeCell ref="B5:B6"/>
    <mergeCell ref="C5:C6"/>
    <mergeCell ref="D5:D6"/>
    <mergeCell ref="E5:E6"/>
    <mergeCell ref="F5:F6"/>
    <mergeCell ref="G5:G6"/>
    <mergeCell ref="H5:H6"/>
    <mergeCell ref="F11:F12"/>
    <mergeCell ref="G11:G12"/>
    <mergeCell ref="H11:H12"/>
    <mergeCell ref="B7:B8"/>
    <mergeCell ref="C7:C8"/>
    <mergeCell ref="D7:D8"/>
    <mergeCell ref="E7:E8"/>
    <mergeCell ref="F7:F8"/>
    <mergeCell ref="G7:G8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B16:B17"/>
    <mergeCell ref="C16:C17"/>
    <mergeCell ref="D16:D17"/>
    <mergeCell ref="E16:E17"/>
    <mergeCell ref="F16:F17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B20:B21"/>
    <mergeCell ref="C20:C21"/>
    <mergeCell ref="D20:D21"/>
    <mergeCell ref="E20:E21"/>
    <mergeCell ref="F20:F21"/>
    <mergeCell ref="G24:G25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B33:B34"/>
    <mergeCell ref="C33:C34"/>
    <mergeCell ref="D33:D34"/>
    <mergeCell ref="E33:E34"/>
    <mergeCell ref="F33:F34"/>
    <mergeCell ref="G33:G34"/>
    <mergeCell ref="H33:H34"/>
    <mergeCell ref="B31:B32"/>
    <mergeCell ref="C31:C32"/>
    <mergeCell ref="D31:D32"/>
    <mergeCell ref="E31:E32"/>
    <mergeCell ref="F31:F32"/>
    <mergeCell ref="G31:G32"/>
    <mergeCell ref="H31:H32"/>
    <mergeCell ref="G39:G40"/>
    <mergeCell ref="H39:H40"/>
    <mergeCell ref="B39:B40"/>
    <mergeCell ref="C39:C40"/>
    <mergeCell ref="D39:D40"/>
    <mergeCell ref="E39:E40"/>
    <mergeCell ref="F39:F40"/>
    <mergeCell ref="G35:G36"/>
    <mergeCell ref="H35:H36"/>
    <mergeCell ref="B37:B38"/>
    <mergeCell ref="C37:C38"/>
    <mergeCell ref="D37:D38"/>
    <mergeCell ref="E37:E38"/>
    <mergeCell ref="F37:F38"/>
    <mergeCell ref="G37:G38"/>
    <mergeCell ref="H37:H38"/>
    <mergeCell ref="B35:B36"/>
    <mergeCell ref="C35:C36"/>
    <mergeCell ref="D35:D36"/>
    <mergeCell ref="E35:E36"/>
    <mergeCell ref="F35:F36"/>
  </mergeCells>
  <phoneticPr fontId="2" type="noConversion"/>
  <conditionalFormatting sqref="R9:R39">
    <cfRule type="cellIs" dxfId="31" priority="18" operator="greaterThan">
      <formula>0</formula>
    </cfRule>
    <cfRule type="cellIs" dxfId="30" priority="19" operator="lessThan">
      <formula>0</formula>
    </cfRule>
  </conditionalFormatting>
  <conditionalFormatting sqref="AA3:AB33">
    <cfRule type="cellIs" dxfId="29" priority="16" operator="greaterThan">
      <formula>0</formula>
    </cfRule>
    <cfRule type="cellIs" dxfId="28" priority="17" operator="lessThan">
      <formula>0</formula>
    </cfRule>
  </conditionalFormatting>
  <conditionalFormatting sqref="AJ3:AJ32">
    <cfRule type="cellIs" dxfId="27" priority="14" operator="greaterThan">
      <formula>0</formula>
    </cfRule>
    <cfRule type="cellIs" dxfId="26" priority="15" operator="lessThan">
      <formula>0</formula>
    </cfRule>
  </conditionalFormatting>
  <conditionalFormatting sqref="R40">
    <cfRule type="cellIs" dxfId="25" priority="11" operator="greaterThan">
      <formula>0</formula>
    </cfRule>
    <cfRule type="cellIs" dxfId="24" priority="12" operator="lessThan">
      <formula>0</formula>
    </cfRule>
  </conditionalFormatting>
  <conditionalFormatting sqref="AA34">
    <cfRule type="cellIs" dxfId="23" priority="9" operator="greaterThan">
      <formula>0</formula>
    </cfRule>
    <cfRule type="cellIs" dxfId="22" priority="10" operator="lessThan">
      <formula>0</formula>
    </cfRule>
  </conditionalFormatting>
  <conditionalFormatting sqref="AJ33">
    <cfRule type="cellIs" dxfId="21" priority="7" operator="greaterThan">
      <formula>0</formula>
    </cfRule>
    <cfRule type="cellIs" dxfId="20" priority="8" operator="lessThan">
      <formula>0</formula>
    </cfRule>
  </conditionalFormatting>
  <conditionalFormatting sqref="E3:E4">
    <cfRule type="expression" dxfId="19" priority="22">
      <formula>R9&gt;0</formula>
    </cfRule>
  </conditionalFormatting>
  <conditionalFormatting sqref="F3:F4">
    <cfRule type="expression" dxfId="18" priority="23">
      <formula>R10&gt;0</formula>
    </cfRule>
  </conditionalFormatting>
  <conditionalFormatting sqref="R3:R4">
    <cfRule type="cellIs" dxfId="17" priority="3" operator="greaterThan">
      <formula>0</formula>
    </cfRule>
    <cfRule type="cellIs" dxfId="16" priority="4" operator="lessThan">
      <formula>0</formula>
    </cfRule>
  </conditionalFormatting>
  <conditionalFormatting sqref="R5">
    <cfRule type="cellIs" dxfId="15" priority="1" operator="greaterThan">
      <formula>0</formula>
    </cfRule>
    <cfRule type="cellIs" dxfId="14" priority="2" operator="lessThan">
      <formula>0</formula>
    </cfRule>
  </conditionalFormatting>
  <pageMargins left="0.7" right="0.7" top="0.75" bottom="0.75" header="0.3" footer="0.3"/>
  <pageSetup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612D5-255E-4E6C-BFDA-490DA4D5B519}">
  <dimension ref="A1:T28"/>
  <sheetViews>
    <sheetView topLeftCell="C1" zoomScale="85" zoomScaleNormal="85" workbookViewId="0">
      <selection activeCell="A18" sqref="A18:N18"/>
    </sheetView>
  </sheetViews>
  <sheetFormatPr defaultRowHeight="15"/>
  <cols>
    <col min="2" max="2" width="9.85546875" customWidth="1"/>
    <col min="4" max="4" width="10.85546875" customWidth="1"/>
    <col min="5" max="5" width="12.85546875" customWidth="1"/>
    <col min="6" max="6" width="9.85546875" customWidth="1"/>
    <col min="7" max="7" width="15.140625" customWidth="1"/>
    <col min="8" max="8" width="12" customWidth="1"/>
    <col min="10" max="10" width="14.7109375" customWidth="1"/>
    <col min="11" max="11" width="12.140625" customWidth="1"/>
    <col min="13" max="13" width="15.5703125" customWidth="1"/>
    <col min="14" max="14" width="12.42578125" customWidth="1"/>
    <col min="16" max="16" width="10.42578125" customWidth="1"/>
    <col min="17" max="17" width="12.140625" customWidth="1"/>
    <col min="19" max="19" width="10.5703125" customWidth="1"/>
    <col min="20" max="20" width="10.5703125" bestFit="1" customWidth="1"/>
    <col min="21" max="21" width="12.28515625" bestFit="1" customWidth="1"/>
    <col min="22" max="22" width="10.85546875" customWidth="1"/>
  </cols>
  <sheetData>
    <row r="1" spans="1:20" ht="15.75" thickBot="1">
      <c r="A1" s="25"/>
      <c r="B1" s="25"/>
      <c r="C1" s="25"/>
      <c r="D1" s="25"/>
    </row>
    <row r="2" spans="1:20" ht="15.75" thickBot="1">
      <c r="A2" s="25"/>
      <c r="B2" s="197" t="s">
        <v>33</v>
      </c>
      <c r="C2" s="199"/>
      <c r="D2" s="25"/>
    </row>
    <row r="3" spans="1:20">
      <c r="A3" s="25"/>
      <c r="B3" s="71" t="s">
        <v>36</v>
      </c>
      <c r="C3" s="70">
        <v>12</v>
      </c>
      <c r="D3" s="25"/>
    </row>
    <row r="4" spans="1:20">
      <c r="A4" s="25"/>
      <c r="B4" s="72" t="s">
        <v>31</v>
      </c>
      <c r="C4" s="48">
        <v>7</v>
      </c>
      <c r="D4" s="25"/>
    </row>
    <row r="5" spans="1:20" ht="15.75" thickBot="1">
      <c r="A5" s="25"/>
      <c r="B5" s="46" t="s">
        <v>32</v>
      </c>
      <c r="C5" s="49">
        <v>7</v>
      </c>
      <c r="D5" s="25"/>
    </row>
    <row r="6" spans="1:20" ht="15.75" thickBot="1">
      <c r="A6" s="25"/>
      <c r="B6" s="25"/>
      <c r="C6" s="25"/>
      <c r="D6" s="25"/>
    </row>
    <row r="7" spans="1:20" ht="15.75" thickBot="1">
      <c r="A7" s="197" t="s">
        <v>150</v>
      </c>
      <c r="B7" s="198"/>
      <c r="C7" s="198"/>
      <c r="D7" s="198"/>
      <c r="E7" s="198"/>
      <c r="F7" s="198"/>
      <c r="G7" s="198"/>
      <c r="H7" s="198"/>
      <c r="I7" s="198"/>
      <c r="J7" s="198"/>
      <c r="K7" s="198"/>
      <c r="L7" s="198"/>
      <c r="M7" s="198"/>
      <c r="N7" s="199"/>
      <c r="O7" s="125"/>
      <c r="P7" s="197" t="s">
        <v>37</v>
      </c>
      <c r="Q7" s="198"/>
      <c r="R7" s="198"/>
      <c r="S7" s="199"/>
      <c r="T7" s="25"/>
    </row>
    <row r="8" spans="1:20" ht="15.75" thickBot="1">
      <c r="A8" s="111"/>
      <c r="B8" s="3" t="s">
        <v>145</v>
      </c>
      <c r="C8" s="112" t="s">
        <v>146</v>
      </c>
      <c r="D8" s="60" t="s">
        <v>19</v>
      </c>
      <c r="E8" s="113" t="s">
        <v>30</v>
      </c>
      <c r="F8" s="114" t="s">
        <v>36</v>
      </c>
      <c r="G8" s="114" t="s">
        <v>35</v>
      </c>
      <c r="H8" s="114" t="s">
        <v>23</v>
      </c>
      <c r="I8" s="115" t="s">
        <v>31</v>
      </c>
      <c r="J8" s="114" t="s">
        <v>35</v>
      </c>
      <c r="K8" s="116" t="s">
        <v>23</v>
      </c>
      <c r="L8" s="23" t="s">
        <v>32</v>
      </c>
      <c r="M8" s="23" t="s">
        <v>35</v>
      </c>
      <c r="N8" s="4" t="s">
        <v>23</v>
      </c>
      <c r="O8" s="25"/>
      <c r="P8" s="136"/>
      <c r="Q8" s="163" t="s">
        <v>41</v>
      </c>
      <c r="R8" s="163" t="s">
        <v>39</v>
      </c>
      <c r="S8" s="138" t="s">
        <v>40</v>
      </c>
      <c r="T8" s="25"/>
    </row>
    <row r="9" spans="1:20">
      <c r="A9" s="1" t="s">
        <v>16</v>
      </c>
      <c r="B9" s="29">
        <v>6</v>
      </c>
      <c r="C9" s="42">
        <v>12</v>
      </c>
      <c r="D9" s="58">
        <f>C9-B9</f>
        <v>6</v>
      </c>
      <c r="E9" s="73">
        <v>48</v>
      </c>
      <c r="F9" s="50">
        <f>D9*8</f>
        <v>48</v>
      </c>
      <c r="G9" s="56">
        <f>C3</f>
        <v>12</v>
      </c>
      <c r="H9" s="56">
        <f>PRODUCT(F9:G9)</f>
        <v>576</v>
      </c>
      <c r="I9" s="1">
        <v>0</v>
      </c>
      <c r="J9" s="74">
        <v>0</v>
      </c>
      <c r="K9" s="12">
        <f>PRODUCT(I9:J9)</f>
        <v>0</v>
      </c>
      <c r="L9" s="50">
        <v>0</v>
      </c>
      <c r="M9" s="68">
        <v>0</v>
      </c>
      <c r="N9" s="12">
        <f>PRODUCT(L9:M9)</f>
        <v>0</v>
      </c>
      <c r="O9" s="25"/>
      <c r="P9" s="72" t="s">
        <v>33</v>
      </c>
      <c r="Q9" s="56">
        <f>Q14</f>
        <v>576</v>
      </c>
      <c r="R9" s="90"/>
      <c r="S9" s="101"/>
      <c r="T9" s="25"/>
    </row>
    <row r="10" spans="1:20" ht="15.75" thickBot="1">
      <c r="A10" s="150"/>
      <c r="B10" s="190"/>
      <c r="C10" s="191"/>
      <c r="D10" s="59"/>
      <c r="E10" s="77"/>
      <c r="F10" s="189"/>
      <c r="G10" s="188"/>
      <c r="H10" s="89"/>
      <c r="I10" s="35"/>
      <c r="J10" s="188"/>
      <c r="K10" s="79"/>
      <c r="L10" s="38"/>
      <c r="M10" s="188"/>
      <c r="N10" s="188"/>
      <c r="O10" s="25"/>
      <c r="P10" s="72" t="s">
        <v>38</v>
      </c>
      <c r="Q10" s="90"/>
      <c r="R10" s="90"/>
      <c r="S10" s="88">
        <f>'Salaries and Daily Costs'!S8</f>
        <v>536.22</v>
      </c>
      <c r="T10" s="25"/>
    </row>
    <row r="11" spans="1:20" ht="15.75" thickBot="1">
      <c r="A11" s="25"/>
      <c r="B11" s="25"/>
      <c r="C11" s="25"/>
      <c r="D11" s="61">
        <f ca="1">SUM(D9:D12)</f>
        <v>6</v>
      </c>
      <c r="E11" s="53"/>
      <c r="F11" s="34">
        <f ca="1">SUM(F9:F12)</f>
        <v>40</v>
      </c>
      <c r="G11" s="53"/>
      <c r="H11" s="64">
        <f>SUM(H9:H10)</f>
        <v>576</v>
      </c>
      <c r="I11" s="32">
        <f ca="1">SUM(I9:I12)</f>
        <v>0</v>
      </c>
      <c r="J11" s="53"/>
      <c r="K11" s="76">
        <f ca="1">SUM(K9:K12)</f>
        <v>0</v>
      </c>
      <c r="L11" s="34">
        <f ca="1">SUM(L9:L12)</f>
        <v>0</v>
      </c>
      <c r="M11" s="53"/>
      <c r="N11" s="76">
        <f ca="1">SUM(N9:N13)</f>
        <v>0</v>
      </c>
      <c r="O11" s="25"/>
      <c r="P11" s="46"/>
      <c r="Q11" s="102"/>
      <c r="R11" s="102"/>
      <c r="S11" s="103"/>
      <c r="T11" s="25"/>
    </row>
    <row r="12" spans="1:20" ht="15.75" thickBot="1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7"/>
      <c r="Q12" s="25"/>
      <c r="R12" s="32" t="s">
        <v>134</v>
      </c>
      <c r="S12" s="181">
        <f>SUM(Q9:Q11)-SUM(R9:R11)-SUM(S9:S11)</f>
        <v>39.779999999999973</v>
      </c>
      <c r="T12" s="25"/>
    </row>
    <row r="13" spans="1:20" ht="15.75" thickBot="1">
      <c r="C13" s="192"/>
      <c r="D13" s="22"/>
      <c r="G13" s="75"/>
      <c r="J13" s="56"/>
      <c r="M13" s="56"/>
      <c r="N13" s="12"/>
      <c r="O13" s="25"/>
      <c r="P13" s="67"/>
      <c r="Q13" s="25"/>
      <c r="R13" s="25"/>
      <c r="S13" s="25"/>
      <c r="T13" s="25"/>
    </row>
    <row r="14" spans="1:20">
      <c r="O14" s="25"/>
      <c r="P14" s="132" t="s">
        <v>23</v>
      </c>
      <c r="Q14" s="130">
        <f>H11</f>
        <v>576</v>
      </c>
      <c r="R14" s="26"/>
      <c r="S14" s="25"/>
      <c r="T14" s="25"/>
    </row>
    <row r="15" spans="1:20" ht="15.75" thickBot="1">
      <c r="O15" s="25"/>
      <c r="P15" s="25"/>
      <c r="Q15" s="25"/>
      <c r="R15" s="25"/>
      <c r="S15" s="67"/>
      <c r="T15" s="25"/>
    </row>
    <row r="16" spans="1:20">
      <c r="T16" s="37"/>
    </row>
    <row r="17" spans="1:20" ht="15.75" thickBot="1">
      <c r="B17" s="217" t="s">
        <v>147</v>
      </c>
      <c r="C17" s="217"/>
      <c r="D17" s="217"/>
      <c r="E17" s="217"/>
      <c r="T17" s="37"/>
    </row>
    <row r="18" spans="1:20" ht="15.75" thickBot="1">
      <c r="A18" s="197" t="s">
        <v>152</v>
      </c>
      <c r="B18" s="198"/>
      <c r="C18" s="198"/>
      <c r="D18" s="198"/>
      <c r="E18" s="198"/>
      <c r="F18" s="198"/>
      <c r="G18" s="198"/>
      <c r="H18" s="198"/>
      <c r="I18" s="198"/>
      <c r="J18" s="198"/>
      <c r="K18" s="198"/>
      <c r="L18" s="198"/>
      <c r="M18" s="198"/>
      <c r="N18" s="198"/>
      <c r="O18" s="125"/>
      <c r="P18" s="197" t="s">
        <v>37</v>
      </c>
      <c r="Q18" s="198"/>
      <c r="R18" s="198"/>
      <c r="S18" s="199"/>
      <c r="T18" s="25"/>
    </row>
    <row r="19" spans="1:20" ht="15.75" thickBot="1">
      <c r="A19" s="111"/>
      <c r="B19" s="3" t="s">
        <v>145</v>
      </c>
      <c r="C19" s="112" t="s">
        <v>146</v>
      </c>
      <c r="D19" s="60" t="s">
        <v>19</v>
      </c>
      <c r="E19" s="113" t="s">
        <v>30</v>
      </c>
      <c r="F19" s="114" t="s">
        <v>36</v>
      </c>
      <c r="G19" s="114" t="s">
        <v>35</v>
      </c>
      <c r="H19" s="114" t="s">
        <v>23</v>
      </c>
      <c r="I19" s="115" t="s">
        <v>31</v>
      </c>
      <c r="J19" s="114" t="s">
        <v>35</v>
      </c>
      <c r="K19" s="116" t="s">
        <v>23</v>
      </c>
      <c r="L19" s="23" t="s">
        <v>32</v>
      </c>
      <c r="M19" s="23" t="s">
        <v>35</v>
      </c>
      <c r="N19" s="4" t="s">
        <v>23</v>
      </c>
      <c r="O19" s="25"/>
      <c r="P19" s="136"/>
      <c r="Q19" s="137" t="s">
        <v>41</v>
      </c>
      <c r="R19" s="137" t="s">
        <v>39</v>
      </c>
      <c r="S19" s="138" t="s">
        <v>40</v>
      </c>
      <c r="T19" s="25"/>
    </row>
    <row r="20" spans="1:20">
      <c r="A20" s="1" t="s">
        <v>16</v>
      </c>
      <c r="B20" s="29">
        <v>6</v>
      </c>
      <c r="C20" s="42">
        <v>11</v>
      </c>
      <c r="D20" s="58">
        <f>C20-B20</f>
        <v>5</v>
      </c>
      <c r="E20" s="73">
        <v>40</v>
      </c>
      <c r="F20" s="50">
        <v>40</v>
      </c>
      <c r="G20" s="56">
        <f>C3</f>
        <v>12</v>
      </c>
      <c r="H20" s="56">
        <f>PRODUCT(F20:G20)</f>
        <v>480</v>
      </c>
      <c r="I20" s="1">
        <v>0</v>
      </c>
      <c r="J20" s="74">
        <v>0</v>
      </c>
      <c r="K20" s="12">
        <f>PRODUCT(I20:J20)</f>
        <v>0</v>
      </c>
      <c r="L20" s="50">
        <v>0</v>
      </c>
      <c r="M20" s="68">
        <v>0</v>
      </c>
      <c r="N20" s="12">
        <f>PRODUCT(L20:M20)</f>
        <v>0</v>
      </c>
      <c r="O20" s="25"/>
      <c r="P20" s="72" t="s">
        <v>33</v>
      </c>
      <c r="Q20" s="56">
        <f>Q25</f>
        <v>1880</v>
      </c>
      <c r="R20" s="90"/>
      <c r="S20" s="101"/>
      <c r="T20" s="25"/>
    </row>
    <row r="21" spans="1:20">
      <c r="A21" s="35"/>
      <c r="B21" s="36"/>
      <c r="C21" s="43"/>
      <c r="D21" s="59"/>
      <c r="E21" s="77"/>
      <c r="F21" s="38"/>
      <c r="G21" s="38"/>
      <c r="H21" s="89"/>
      <c r="I21" s="35"/>
      <c r="J21" s="38"/>
      <c r="K21" s="79"/>
      <c r="L21" s="38"/>
      <c r="M21" s="38"/>
      <c r="N21" s="79"/>
      <c r="O21" s="25"/>
      <c r="P21" s="72" t="s">
        <v>38</v>
      </c>
      <c r="Q21" s="90"/>
      <c r="R21" s="90"/>
      <c r="S21" s="88">
        <f>'Salaries and Daily Costs'!S26</f>
        <v>1719.45</v>
      </c>
      <c r="T21" s="25"/>
    </row>
    <row r="22" spans="1:20" ht="15.75" thickBot="1">
      <c r="A22" s="1" t="s">
        <v>22</v>
      </c>
      <c r="B22" s="29">
        <v>12</v>
      </c>
      <c r="C22" s="44">
        <v>15.5</v>
      </c>
      <c r="D22" s="58">
        <f t="shared" ref="D22:D24" si="0">C22-B22</f>
        <v>3.5</v>
      </c>
      <c r="E22" s="73">
        <v>100</v>
      </c>
      <c r="F22" s="69">
        <v>0</v>
      </c>
      <c r="G22" s="75">
        <v>0</v>
      </c>
      <c r="H22" s="90">
        <f t="shared" ref="H22:H24" si="1">PRODUCT(F22:G22)</f>
        <v>0</v>
      </c>
      <c r="I22" s="106">
        <f>E22/2</f>
        <v>50</v>
      </c>
      <c r="J22" s="56">
        <f>C4</f>
        <v>7</v>
      </c>
      <c r="K22" s="12">
        <f t="shared" ref="K22:K24" si="2">PRODUCT(I22:J22)</f>
        <v>350</v>
      </c>
      <c r="L22" s="50">
        <f>E22/2</f>
        <v>50</v>
      </c>
      <c r="M22" s="56">
        <f>C5</f>
        <v>7</v>
      </c>
      <c r="N22" s="12">
        <f t="shared" ref="N22:N24" si="3">PRODUCT(L22:M22)</f>
        <v>350</v>
      </c>
      <c r="O22" s="25"/>
      <c r="P22" s="46"/>
      <c r="Q22" s="102"/>
      <c r="R22" s="102"/>
      <c r="S22" s="103"/>
      <c r="T22" s="25"/>
    </row>
    <row r="23" spans="1:20" ht="15.75" thickBot="1">
      <c r="A23" s="35"/>
      <c r="B23" s="36"/>
      <c r="C23" s="43"/>
      <c r="D23" s="59"/>
      <c r="E23" s="77"/>
      <c r="F23" s="80"/>
      <c r="G23" s="89"/>
      <c r="H23" s="89"/>
      <c r="I23" s="35"/>
      <c r="J23" s="38"/>
      <c r="K23" s="79"/>
      <c r="L23" s="38"/>
      <c r="M23" s="38"/>
      <c r="N23" s="79"/>
      <c r="O23" s="25"/>
      <c r="P23" s="7"/>
      <c r="Q23" s="25"/>
      <c r="R23" s="32" t="s">
        <v>134</v>
      </c>
      <c r="S23" s="181">
        <f>SUM(Q20:Q22)-SUM(R20:R22)-SUM(S20:S22)</f>
        <v>160.54999999999995</v>
      </c>
      <c r="T23" s="25"/>
    </row>
    <row r="24" spans="1:20" ht="15.75" thickBot="1">
      <c r="A24" s="1" t="s">
        <v>22</v>
      </c>
      <c r="B24" s="29">
        <v>16.5</v>
      </c>
      <c r="C24" s="44">
        <v>20</v>
      </c>
      <c r="D24" s="58">
        <f t="shared" si="0"/>
        <v>3.5</v>
      </c>
      <c r="E24" s="73">
        <v>100</v>
      </c>
      <c r="F24" s="69">
        <v>0</v>
      </c>
      <c r="G24" s="75">
        <v>0</v>
      </c>
      <c r="H24" s="90">
        <f t="shared" si="1"/>
        <v>0</v>
      </c>
      <c r="I24" s="106">
        <f t="shared" ref="I24" si="4">E24/2</f>
        <v>50</v>
      </c>
      <c r="J24" s="56">
        <f>C4</f>
        <v>7</v>
      </c>
      <c r="K24" s="12">
        <f t="shared" si="2"/>
        <v>350</v>
      </c>
      <c r="L24" s="50">
        <f t="shared" ref="L24" si="5">E24/2</f>
        <v>50</v>
      </c>
      <c r="M24" s="56">
        <f>C5</f>
        <v>7</v>
      </c>
      <c r="N24" s="12">
        <f t="shared" si="3"/>
        <v>350</v>
      </c>
      <c r="O24" s="25"/>
      <c r="P24" s="67"/>
      <c r="Q24" s="25"/>
      <c r="R24" s="25"/>
      <c r="S24" s="25"/>
      <c r="T24" s="25"/>
    </row>
    <row r="25" spans="1:20" ht="15.75" thickBot="1">
      <c r="A25" s="25"/>
      <c r="B25" s="25"/>
      <c r="C25" s="25"/>
      <c r="D25" s="61">
        <f>SUM(D20:D24)</f>
        <v>12</v>
      </c>
      <c r="E25" s="53"/>
      <c r="F25" s="34">
        <f>SUM(F20:F24)</f>
        <v>40</v>
      </c>
      <c r="G25" s="53"/>
      <c r="H25" s="64">
        <f>SUM(H20:H24)</f>
        <v>480</v>
      </c>
      <c r="I25" s="32">
        <f>SUM(I20:I24)</f>
        <v>100</v>
      </c>
      <c r="J25" s="53"/>
      <c r="K25" s="76">
        <f>SUM(K20:K24)</f>
        <v>700</v>
      </c>
      <c r="L25" s="34">
        <f>SUM(L20:L24)</f>
        <v>100</v>
      </c>
      <c r="M25" s="53"/>
      <c r="N25" s="76">
        <f>SUM(N20:N24)</f>
        <v>700</v>
      </c>
      <c r="O25" s="25"/>
      <c r="P25" s="132" t="s">
        <v>23</v>
      </c>
      <c r="Q25" s="130">
        <f>SUM(H25,K25,N25)</f>
        <v>1880</v>
      </c>
      <c r="R25" s="26"/>
      <c r="S25" s="25"/>
      <c r="T25" s="25"/>
    </row>
    <row r="26" spans="1:20" ht="15.75" thickBot="1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67"/>
      <c r="T26" s="25"/>
    </row>
    <row r="27" spans="1:20">
      <c r="T27" s="37"/>
    </row>
    <row r="28" spans="1:20">
      <c r="B28" s="217" t="s">
        <v>147</v>
      </c>
      <c r="C28" s="217"/>
      <c r="D28" s="217"/>
      <c r="E28" s="217"/>
      <c r="T28" s="37"/>
    </row>
  </sheetData>
  <mergeCells count="7">
    <mergeCell ref="B28:E28"/>
    <mergeCell ref="B2:C2"/>
    <mergeCell ref="A18:N18"/>
    <mergeCell ref="P18:S18"/>
    <mergeCell ref="A7:N7"/>
    <mergeCell ref="P7:S7"/>
    <mergeCell ref="B17:E17"/>
  </mergeCells>
  <conditionalFormatting sqref="S23">
    <cfRule type="cellIs" dxfId="13" priority="13" operator="lessThan">
      <formula>0</formula>
    </cfRule>
    <cfRule type="cellIs" dxfId="12" priority="14" operator="greaterThan">
      <formula>0</formula>
    </cfRule>
  </conditionalFormatting>
  <conditionalFormatting sqref="S12">
    <cfRule type="cellIs" dxfId="11" priority="1" operator="lessThan">
      <formula>0</formula>
    </cfRule>
    <cfRule type="cellIs" dxfId="10" priority="2" operator="greaterThan">
      <formula>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D16C5-071C-4BA6-880A-1064C0F1E9D8}">
  <dimension ref="A1:U28"/>
  <sheetViews>
    <sheetView topLeftCell="B1" zoomScaleNormal="100" workbookViewId="0">
      <selection activeCell="E18" sqref="E18"/>
    </sheetView>
  </sheetViews>
  <sheetFormatPr defaultRowHeight="15"/>
  <cols>
    <col min="2" max="2" width="10.7109375" customWidth="1"/>
    <col min="3" max="3" width="12.85546875" bestFit="1" customWidth="1"/>
    <col min="4" max="4" width="11.5703125" customWidth="1"/>
    <col min="5" max="5" width="10.5703125" bestFit="1" customWidth="1"/>
    <col min="14" max="14" width="11.140625" customWidth="1"/>
    <col min="18" max="18" width="9.28515625" customWidth="1"/>
    <col min="19" max="19" width="15.140625" customWidth="1"/>
    <col min="24" max="25" width="11.5703125" customWidth="1"/>
    <col min="26" max="26" width="11.42578125" customWidth="1"/>
  </cols>
  <sheetData>
    <row r="1" spans="1:21" ht="15.75" thickBot="1">
      <c r="A1" s="197" t="s">
        <v>150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198"/>
      <c r="U1" s="199"/>
    </row>
    <row r="2" spans="1:21" ht="15.75" thickBot="1">
      <c r="A2" s="111"/>
      <c r="B2" s="3" t="s">
        <v>145</v>
      </c>
      <c r="C2" s="112" t="s">
        <v>146</v>
      </c>
      <c r="D2" s="60" t="s">
        <v>19</v>
      </c>
      <c r="E2" s="23" t="s">
        <v>24</v>
      </c>
      <c r="F2" s="112" t="s">
        <v>14</v>
      </c>
      <c r="G2" s="184" t="s">
        <v>23</v>
      </c>
      <c r="H2" s="23" t="s">
        <v>25</v>
      </c>
      <c r="I2" s="112" t="s">
        <v>14</v>
      </c>
      <c r="J2" s="184" t="s">
        <v>23</v>
      </c>
      <c r="K2" s="23" t="s">
        <v>15</v>
      </c>
      <c r="L2" s="112" t="s">
        <v>14</v>
      </c>
      <c r="M2" s="184" t="s">
        <v>23</v>
      </c>
      <c r="N2" s="23" t="s">
        <v>20</v>
      </c>
      <c r="O2" s="23" t="s">
        <v>14</v>
      </c>
      <c r="P2" s="4" t="s">
        <v>23</v>
      </c>
      <c r="Q2" s="25"/>
      <c r="R2" s="185" t="s">
        <v>34</v>
      </c>
      <c r="S2" s="186"/>
      <c r="T2" s="187"/>
      <c r="U2" s="25"/>
    </row>
    <row r="3" spans="1:21">
      <c r="A3" s="1" t="s">
        <v>16</v>
      </c>
      <c r="B3" s="29">
        <v>6</v>
      </c>
      <c r="C3" s="42">
        <v>12</v>
      </c>
      <c r="D3" s="58">
        <f>C3-B3</f>
        <v>6</v>
      </c>
      <c r="E3" s="22">
        <v>3</v>
      </c>
      <c r="F3" s="84">
        <f>$T$13</f>
        <v>10.71</v>
      </c>
      <c r="G3" s="86">
        <f>PRODUCT(D3:F3)</f>
        <v>192.78000000000003</v>
      </c>
      <c r="H3" s="22">
        <v>1</v>
      </c>
      <c r="I3" s="85">
        <f>$T$14</f>
        <v>10.3</v>
      </c>
      <c r="J3" s="91">
        <f>PRODUCT(I3,H3,D3)</f>
        <v>61.800000000000004</v>
      </c>
      <c r="K3" s="22">
        <v>1</v>
      </c>
      <c r="L3" s="84">
        <f>T5</f>
        <v>23.47</v>
      </c>
      <c r="M3" s="86">
        <f>PRODUCT(L3,K3,D3)</f>
        <v>140.82</v>
      </c>
      <c r="N3" s="22">
        <v>1</v>
      </c>
      <c r="O3" s="87">
        <f>T6</f>
        <v>23.47</v>
      </c>
      <c r="P3" s="88">
        <f>PRODUCT(O3,N3,D3)</f>
        <v>140.82</v>
      </c>
      <c r="Q3" s="25"/>
      <c r="R3" s="219" t="s">
        <v>26</v>
      </c>
      <c r="S3" s="220"/>
      <c r="T3" s="98">
        <v>10.71</v>
      </c>
      <c r="U3" s="7"/>
    </row>
    <row r="4" spans="1:21" ht="15.75" thickBot="1">
      <c r="A4" s="25"/>
      <c r="B4" s="24"/>
      <c r="C4" s="24"/>
      <c r="D4" s="25"/>
      <c r="E4" s="25"/>
      <c r="F4" s="25"/>
      <c r="G4" s="25"/>
      <c r="H4" s="25"/>
      <c r="I4" s="25"/>
      <c r="J4" s="25"/>
      <c r="K4" s="26"/>
      <c r="L4" s="39"/>
      <c r="M4" s="26"/>
      <c r="N4" s="40"/>
      <c r="O4" s="41"/>
      <c r="P4" s="26"/>
      <c r="Q4" s="25"/>
      <c r="R4" s="221" t="s">
        <v>29</v>
      </c>
      <c r="S4" s="222"/>
      <c r="T4" s="99">
        <v>10.3</v>
      </c>
      <c r="U4" s="8"/>
    </row>
    <row r="5" spans="1:21" ht="15.75" thickBot="1">
      <c r="A5" s="25"/>
      <c r="B5" s="24"/>
      <c r="C5" s="104" t="s">
        <v>42</v>
      </c>
      <c r="D5" s="63">
        <f>SUMIF(A3:A3, C5, D3:D3)</f>
        <v>0</v>
      </c>
      <c r="E5" s="105">
        <f>SUMIF(A3:A3, C5, E3:E3)</f>
        <v>0</v>
      </c>
      <c r="F5" s="25"/>
      <c r="G5" s="108">
        <f>SUMIF(A3:A3, C5, G3:G3)</f>
        <v>0</v>
      </c>
      <c r="H5" s="107">
        <f>SUMIF(A3:A3, C5, H3:H3)</f>
        <v>0</v>
      </c>
      <c r="I5" s="25"/>
      <c r="J5" s="109">
        <f>SUMIF(A3:A3, C5, J3:J3)</f>
        <v>0</v>
      </c>
      <c r="K5" s="106">
        <f>SUMIF(A3:A3, C5, K3:K3)</f>
        <v>0</v>
      </c>
      <c r="L5" s="26"/>
      <c r="M5" s="110">
        <f>SUMIF(A3:A3, C5, M3:M3)</f>
        <v>0</v>
      </c>
      <c r="N5" s="107"/>
      <c r="O5" s="41"/>
      <c r="P5" s="141">
        <f>SUMIF(A3:A3, C5, P3:P3)</f>
        <v>0</v>
      </c>
      <c r="Q5" s="25"/>
      <c r="R5" s="221" t="s">
        <v>27</v>
      </c>
      <c r="S5" s="222"/>
      <c r="T5" s="99">
        <v>23.47</v>
      </c>
      <c r="U5" s="8"/>
    </row>
    <row r="6" spans="1:21" ht="15.75" thickBot="1">
      <c r="A6" s="25"/>
      <c r="B6" s="25"/>
      <c r="C6" s="72" t="s">
        <v>21</v>
      </c>
      <c r="D6" s="58">
        <f>SUMIF(A3:A3, C6, D3:D3)</f>
        <v>6</v>
      </c>
      <c r="E6" s="2">
        <f>SUMIF(A3:A3, C6, E3:E3)</f>
        <v>3</v>
      </c>
      <c r="F6" s="25"/>
      <c r="G6" s="92">
        <f>SUMIF(A3:A3, C6, G3:G3)</f>
        <v>192.78000000000003</v>
      </c>
      <c r="H6" s="5">
        <f>SUMIF(A3:A3, C6, H3:H3)</f>
        <v>1</v>
      </c>
      <c r="I6" s="25"/>
      <c r="J6" s="92">
        <f>SUMIF(A3:A3, C6, J3:J3)</f>
        <v>61.800000000000004</v>
      </c>
      <c r="K6" s="1">
        <f>SUMIF(A3:A3, C6, K3:K3)</f>
        <v>1</v>
      </c>
      <c r="L6" s="54"/>
      <c r="M6" s="96">
        <f>SUMIF(A3:A3, C6, M3:M3)</f>
        <v>140.82</v>
      </c>
      <c r="N6" s="5">
        <f>SUMIF(A3:A3, C6, N3:N3)</f>
        <v>1</v>
      </c>
      <c r="O6" s="25"/>
      <c r="P6" s="96">
        <f>SUMIF(A3:A3, C6, P3:P3)</f>
        <v>140.82</v>
      </c>
      <c r="Q6" s="25"/>
      <c r="R6" s="223" t="s">
        <v>28</v>
      </c>
      <c r="S6" s="224"/>
      <c r="T6" s="100">
        <v>23.47</v>
      </c>
      <c r="U6" s="8"/>
    </row>
    <row r="7" spans="1:21" ht="15.75" thickBot="1">
      <c r="A7" s="25"/>
      <c r="B7" s="25"/>
      <c r="C7" s="46" t="s">
        <v>22</v>
      </c>
      <c r="D7" s="60">
        <f>SUMIF(A3:A3, C7, D3:D3)</f>
        <v>0</v>
      </c>
      <c r="E7" s="2">
        <f>SUMIF(A3:A3, C7, E3:E3)</f>
        <v>0</v>
      </c>
      <c r="F7" s="25"/>
      <c r="G7" s="92">
        <f>SUMIF(A3:A3, C7, G3:G3)</f>
        <v>0</v>
      </c>
      <c r="H7" s="5">
        <f>SUMIF(A3:A3, C7, H3:H3)</f>
        <v>0</v>
      </c>
      <c r="I7" s="51"/>
      <c r="J7" s="94">
        <f>SUMIF(A3:A3, C7, J3:J3)</f>
        <v>0</v>
      </c>
      <c r="K7" s="3">
        <f>SUMIF(A3:A3, C7, K3:K3)</f>
        <v>0</v>
      </c>
      <c r="L7" s="55"/>
      <c r="M7" s="95">
        <f>SUMIF(A3:A3,C7,M3:M3)</f>
        <v>0</v>
      </c>
      <c r="N7" s="4">
        <f>SUMIF(A3:A3, C7, N3:N3)</f>
        <v>0</v>
      </c>
      <c r="O7" s="25"/>
      <c r="P7" s="96">
        <f>SUMIF(A3:A3, C7, P3:P3)</f>
        <v>0</v>
      </c>
      <c r="Q7" s="25"/>
      <c r="R7" s="25"/>
      <c r="S7" s="25"/>
      <c r="T7" s="25"/>
      <c r="U7" s="8"/>
    </row>
    <row r="8" spans="1:21" ht="15.75" thickBot="1">
      <c r="A8" s="25"/>
      <c r="B8" s="25"/>
      <c r="C8" s="62" t="s">
        <v>23</v>
      </c>
      <c r="D8" s="63">
        <f>SUM(D5:D7)</f>
        <v>6</v>
      </c>
      <c r="E8" s="52">
        <f>SUM(E5:E7)</f>
        <v>3</v>
      </c>
      <c r="F8" s="54"/>
      <c r="G8" s="93">
        <f>SUM(G5:G7)</f>
        <v>192.78000000000003</v>
      </c>
      <c r="H8" s="28">
        <f>SUM(H5:H7)</f>
        <v>1</v>
      </c>
      <c r="I8" s="25"/>
      <c r="J8" s="93">
        <f>SUM(J5:J7)</f>
        <v>61.800000000000004</v>
      </c>
      <c r="K8" s="27">
        <f>SUM(K5:K7)</f>
        <v>1</v>
      </c>
      <c r="L8" s="54"/>
      <c r="M8" s="93">
        <f>SUM(M5:M7)</f>
        <v>140.82</v>
      </c>
      <c r="N8" s="28">
        <f>SUM(N5:N7)</f>
        <v>1</v>
      </c>
      <c r="O8" s="25"/>
      <c r="P8" s="93">
        <f>SUM(P5:P7)</f>
        <v>140.82</v>
      </c>
      <c r="Q8" s="25"/>
      <c r="R8" t="s">
        <v>23</v>
      </c>
      <c r="S8" s="97">
        <f>SUM(G8,J8,M8,P8)</f>
        <v>536.22</v>
      </c>
      <c r="T8" s="31"/>
      <c r="U8" s="8"/>
    </row>
    <row r="9" spans="1:21" ht="15.75" thickBot="1">
      <c r="A9" s="65"/>
      <c r="B9" s="53"/>
      <c r="C9" s="53"/>
      <c r="D9" s="53"/>
      <c r="E9" s="53"/>
      <c r="F9" s="53"/>
      <c r="G9" s="53"/>
      <c r="H9" s="53">
        <v>9</v>
      </c>
      <c r="I9" s="53"/>
      <c r="J9" s="53"/>
      <c r="K9" s="66"/>
      <c r="L9" s="53"/>
      <c r="M9" s="53"/>
      <c r="N9" s="53"/>
      <c r="O9" s="53"/>
      <c r="P9" s="53"/>
      <c r="Q9" s="54"/>
      <c r="R9" s="54"/>
      <c r="S9" s="54"/>
      <c r="T9" s="54"/>
      <c r="U9" s="8"/>
    </row>
    <row r="10" spans="1:21">
      <c r="A10" s="218" t="s">
        <v>147</v>
      </c>
      <c r="B10" s="218"/>
      <c r="C10" s="218"/>
    </row>
    <row r="11" spans="1:21" ht="15.75" thickBot="1">
      <c r="A11" s="37"/>
    </row>
    <row r="12" spans="1:21" ht="15.75" thickBot="1">
      <c r="A12" s="197" t="s">
        <v>151</v>
      </c>
      <c r="B12" s="198"/>
      <c r="C12" s="198"/>
      <c r="D12" s="198"/>
      <c r="E12" s="198"/>
      <c r="F12" s="198"/>
      <c r="G12" s="198"/>
      <c r="H12" s="198"/>
      <c r="I12" s="198"/>
      <c r="J12" s="198"/>
      <c r="K12" s="198"/>
      <c r="L12" s="198"/>
      <c r="M12" s="198"/>
      <c r="N12" s="198"/>
      <c r="O12" s="198"/>
      <c r="P12" s="198"/>
      <c r="Q12" s="198"/>
      <c r="R12" s="198"/>
      <c r="S12" s="198"/>
      <c r="T12" s="198"/>
      <c r="U12" s="199"/>
    </row>
    <row r="13" spans="1:21">
      <c r="A13" s="1" t="s">
        <v>16</v>
      </c>
      <c r="B13" s="29">
        <v>6</v>
      </c>
      <c r="C13" s="44">
        <v>11</v>
      </c>
      <c r="D13" s="58">
        <f>C13-B13</f>
        <v>5</v>
      </c>
      <c r="E13" s="22">
        <v>3</v>
      </c>
      <c r="F13" s="84">
        <f>$T$13</f>
        <v>10.71</v>
      </c>
      <c r="G13" s="86">
        <f>PRODUCT(D13:F13)</f>
        <v>160.65</v>
      </c>
      <c r="H13" s="22">
        <v>1</v>
      </c>
      <c r="I13" s="85">
        <f>$T$14</f>
        <v>10.3</v>
      </c>
      <c r="J13" s="91">
        <f>PRODUCT(I13,H13,D13)</f>
        <v>51.5</v>
      </c>
      <c r="K13" s="22">
        <v>1</v>
      </c>
      <c r="L13" s="84">
        <f>T15</f>
        <v>23.47</v>
      </c>
      <c r="M13" s="86">
        <f>PRODUCT(L13,K13,D13)</f>
        <v>117.35</v>
      </c>
      <c r="N13" s="22">
        <v>1</v>
      </c>
      <c r="O13" s="90">
        <f>T16</f>
        <v>23.47</v>
      </c>
      <c r="P13" s="88">
        <f>PRODUCT(O13,N13,D13)</f>
        <v>117.35</v>
      </c>
      <c r="Q13" s="25"/>
      <c r="R13" s="221" t="s">
        <v>26</v>
      </c>
      <c r="S13" s="222"/>
      <c r="T13" s="99">
        <v>10.71</v>
      </c>
      <c r="U13" s="8"/>
    </row>
    <row r="14" spans="1:21">
      <c r="A14" s="35" t="s">
        <v>42</v>
      </c>
      <c r="B14" s="36">
        <v>11</v>
      </c>
      <c r="C14" s="43">
        <v>12</v>
      </c>
      <c r="D14" s="58">
        <f t="shared" ref="D14:D17" si="0">C14-B14</f>
        <v>1</v>
      </c>
      <c r="E14" s="38">
        <v>3</v>
      </c>
      <c r="F14" s="84">
        <f t="shared" ref="F14:F17" si="1">$T$13</f>
        <v>10.71</v>
      </c>
      <c r="G14" s="86">
        <f t="shared" ref="G14:G17" si="2">PRODUCT(D14:F14)</f>
        <v>32.130000000000003</v>
      </c>
      <c r="H14" s="38">
        <v>1</v>
      </c>
      <c r="I14" s="85">
        <f t="shared" ref="I14:I17" si="3">$T$14</f>
        <v>10.3</v>
      </c>
      <c r="J14" s="91">
        <f t="shared" ref="J14:J17" si="4">PRODUCT(I14,H14,D14)</f>
        <v>10.3</v>
      </c>
      <c r="K14" s="38">
        <v>1</v>
      </c>
      <c r="L14" s="83">
        <f>T15</f>
        <v>23.47</v>
      </c>
      <c r="M14" s="86">
        <f t="shared" ref="M14:M17" si="5">PRODUCT(L14,K14,D14)</f>
        <v>23.47</v>
      </c>
      <c r="N14" s="38">
        <v>2</v>
      </c>
      <c r="O14" s="89">
        <f>T16</f>
        <v>23.47</v>
      </c>
      <c r="P14" s="88">
        <f t="shared" ref="P14:P17" si="6">PRODUCT(O14,N14,D14)</f>
        <v>46.94</v>
      </c>
      <c r="Q14" s="25"/>
      <c r="R14" s="221" t="s">
        <v>29</v>
      </c>
      <c r="S14" s="222"/>
      <c r="T14" s="99">
        <v>10.3</v>
      </c>
      <c r="U14" s="8"/>
    </row>
    <row r="15" spans="1:21">
      <c r="A15" s="1" t="s">
        <v>22</v>
      </c>
      <c r="B15" s="29">
        <v>12</v>
      </c>
      <c r="C15" s="44">
        <v>15.5</v>
      </c>
      <c r="D15" s="58">
        <f t="shared" si="0"/>
        <v>3.5</v>
      </c>
      <c r="E15" s="22">
        <v>6</v>
      </c>
      <c r="F15" s="84">
        <f t="shared" si="1"/>
        <v>10.71</v>
      </c>
      <c r="G15" s="86">
        <f t="shared" si="2"/>
        <v>224.91000000000003</v>
      </c>
      <c r="H15" s="22">
        <v>1</v>
      </c>
      <c r="I15" s="85">
        <f t="shared" si="3"/>
        <v>10.3</v>
      </c>
      <c r="J15" s="91">
        <f t="shared" si="4"/>
        <v>36.050000000000004</v>
      </c>
      <c r="K15" s="22">
        <v>1</v>
      </c>
      <c r="L15" s="84">
        <f>T15</f>
        <v>23.47</v>
      </c>
      <c r="M15" s="86">
        <f t="shared" si="5"/>
        <v>82.144999999999996</v>
      </c>
      <c r="N15" s="22">
        <v>2</v>
      </c>
      <c r="O15" s="90">
        <f>T16</f>
        <v>23.47</v>
      </c>
      <c r="P15" s="88">
        <f t="shared" si="6"/>
        <v>164.29</v>
      </c>
      <c r="Q15" s="25"/>
      <c r="R15" s="221" t="s">
        <v>27</v>
      </c>
      <c r="S15" s="222"/>
      <c r="T15" s="99">
        <v>23.47</v>
      </c>
      <c r="U15" s="8"/>
    </row>
    <row r="16" spans="1:21" ht="15.75" thickBot="1">
      <c r="A16" s="35" t="s">
        <v>42</v>
      </c>
      <c r="B16" s="36">
        <v>15.5</v>
      </c>
      <c r="C16" s="43">
        <v>16.5</v>
      </c>
      <c r="D16" s="58">
        <f t="shared" si="0"/>
        <v>1</v>
      </c>
      <c r="E16" s="38">
        <v>6</v>
      </c>
      <c r="F16" s="84">
        <f t="shared" si="1"/>
        <v>10.71</v>
      </c>
      <c r="G16" s="86">
        <f t="shared" si="2"/>
        <v>64.260000000000005</v>
      </c>
      <c r="H16" s="38">
        <v>1</v>
      </c>
      <c r="I16" s="85">
        <f t="shared" si="3"/>
        <v>10.3</v>
      </c>
      <c r="J16" s="91">
        <f t="shared" si="4"/>
        <v>10.3</v>
      </c>
      <c r="K16" s="38">
        <v>1</v>
      </c>
      <c r="L16" s="83">
        <f>T15</f>
        <v>23.47</v>
      </c>
      <c r="M16" s="86">
        <f t="shared" si="5"/>
        <v>23.47</v>
      </c>
      <c r="N16" s="38">
        <v>2</v>
      </c>
      <c r="O16" s="89">
        <f>T16</f>
        <v>23.47</v>
      </c>
      <c r="P16" s="88">
        <f t="shared" si="6"/>
        <v>46.94</v>
      </c>
      <c r="Q16" s="25"/>
      <c r="R16" s="223" t="s">
        <v>28</v>
      </c>
      <c r="S16" s="224"/>
      <c r="T16" s="100">
        <v>23.47</v>
      </c>
      <c r="U16" s="8"/>
    </row>
    <row r="17" spans="1:21">
      <c r="A17" s="1" t="s">
        <v>22</v>
      </c>
      <c r="B17" s="29">
        <v>16.5</v>
      </c>
      <c r="C17" s="44">
        <v>20</v>
      </c>
      <c r="D17" s="58">
        <f t="shared" si="0"/>
        <v>3.5</v>
      </c>
      <c r="E17" s="22">
        <v>6</v>
      </c>
      <c r="F17" s="84">
        <f t="shared" si="1"/>
        <v>10.71</v>
      </c>
      <c r="G17" s="86">
        <f t="shared" si="2"/>
        <v>224.91000000000003</v>
      </c>
      <c r="H17" s="22">
        <v>1</v>
      </c>
      <c r="I17" s="85">
        <f t="shared" si="3"/>
        <v>10.3</v>
      </c>
      <c r="J17" s="91">
        <f t="shared" si="4"/>
        <v>36.050000000000004</v>
      </c>
      <c r="K17" s="22">
        <v>1</v>
      </c>
      <c r="L17" s="84">
        <f>T15</f>
        <v>23.47</v>
      </c>
      <c r="M17" s="86">
        <f t="shared" si="5"/>
        <v>82.144999999999996</v>
      </c>
      <c r="N17" s="22">
        <v>2</v>
      </c>
      <c r="O17" s="90">
        <f>T16</f>
        <v>23.47</v>
      </c>
      <c r="P17" s="88">
        <f t="shared" si="6"/>
        <v>164.29</v>
      </c>
      <c r="Q17" s="25"/>
      <c r="R17" s="25"/>
      <c r="S17" s="25"/>
      <c r="T17" s="25"/>
      <c r="U17" s="8"/>
    </row>
    <row r="18" spans="1:21" ht="15.75" thickBot="1">
      <c r="A18" s="25"/>
      <c r="B18" s="24"/>
      <c r="C18" s="24"/>
      <c r="D18" s="25"/>
      <c r="E18" s="25"/>
      <c r="F18" s="25"/>
      <c r="G18" s="25"/>
      <c r="H18" s="25"/>
      <c r="I18" s="25"/>
      <c r="J18" s="25"/>
      <c r="K18" s="26"/>
      <c r="L18" s="39"/>
      <c r="M18" s="26"/>
      <c r="N18" s="40"/>
      <c r="O18" s="41"/>
      <c r="P18" s="26"/>
      <c r="Q18" s="25"/>
      <c r="R18" s="25"/>
      <c r="S18" s="25"/>
      <c r="T18" s="25"/>
      <c r="U18" s="8"/>
    </row>
    <row r="19" spans="1:21" ht="15.75" thickBot="1">
      <c r="A19" s="25"/>
      <c r="B19" s="24"/>
      <c r="C19" s="104" t="s">
        <v>42</v>
      </c>
      <c r="D19" s="63">
        <f>SUMIF(A13:A17, C19, D13:D17)</f>
        <v>2</v>
      </c>
      <c r="E19" s="105">
        <f>SUMIF(A13:A17, C19, E13:E17)</f>
        <v>9</v>
      </c>
      <c r="F19" s="25"/>
      <c r="G19" s="108">
        <f>SUMIF(A13:A17, C19, G13:G17)</f>
        <v>96.390000000000015</v>
      </c>
      <c r="H19" s="107">
        <f>SUMIF(A13:A17, C19, H13:H17)</f>
        <v>2</v>
      </c>
      <c r="I19" s="25"/>
      <c r="J19" s="109">
        <f>SUMIF(A13:A17, C19, J13:J17)</f>
        <v>20.6</v>
      </c>
      <c r="K19" s="106">
        <f>SUMIF(A13:A17, C19, K13:K17)</f>
        <v>2</v>
      </c>
      <c r="L19" s="26"/>
      <c r="M19" s="110">
        <f>SUMIF(A13:A17, C19, M13:M17)</f>
        <v>46.94</v>
      </c>
      <c r="N19" s="107"/>
      <c r="O19" s="41"/>
      <c r="P19" s="141">
        <f>SUMIF(A13:A17, C19, P13:P17)</f>
        <v>93.88</v>
      </c>
      <c r="Q19" s="25"/>
      <c r="R19" s="25"/>
      <c r="S19" s="25"/>
      <c r="T19" s="25"/>
      <c r="U19" s="8"/>
    </row>
    <row r="20" spans="1:21">
      <c r="A20" s="25"/>
      <c r="B20" s="25"/>
      <c r="C20" s="72" t="s">
        <v>21</v>
      </c>
      <c r="D20" s="58">
        <f>SUMIF(A13:A17, C20, D13:D17)</f>
        <v>5</v>
      </c>
      <c r="E20" s="2">
        <f>SUMIF(A13:A17, C20, E13:E17)</f>
        <v>3</v>
      </c>
      <c r="F20" s="25"/>
      <c r="G20" s="92">
        <f>SUMIF(A13:A17, C20, G13:G17)</f>
        <v>160.65</v>
      </c>
      <c r="H20" s="5">
        <f>SUMIF(A13:A17, C20, H13:H17)</f>
        <v>1</v>
      </c>
      <c r="I20" s="25"/>
      <c r="J20" s="92">
        <f>SUMIF(A13:A17, C20, J13:J17)</f>
        <v>51.5</v>
      </c>
      <c r="K20" s="1">
        <f>SUMIF(A13:A17, C20, K13:K17)</f>
        <v>1</v>
      </c>
      <c r="L20" s="54"/>
      <c r="M20" s="96">
        <f>SUMIF(A13:A17, C20, M13:M17)</f>
        <v>117.35</v>
      </c>
      <c r="N20" s="5">
        <f>SUMIF(A13:A17, C20, N13:N17)</f>
        <v>1</v>
      </c>
      <c r="O20" s="25"/>
      <c r="P20" s="96">
        <f>SUMIF(A13:A17, C20, P13:P17)</f>
        <v>117.35</v>
      </c>
      <c r="Q20" s="25"/>
      <c r="R20" s="25"/>
      <c r="S20" s="25"/>
      <c r="T20" s="25"/>
      <c r="U20" s="8"/>
    </row>
    <row r="21" spans="1:21" ht="15.75" thickBot="1">
      <c r="A21" s="25"/>
      <c r="B21" s="25"/>
      <c r="C21" s="46" t="s">
        <v>22</v>
      </c>
      <c r="D21" s="60">
        <f>SUMIF(A13:A17, C21, D13:D17)</f>
        <v>7</v>
      </c>
      <c r="E21" s="2">
        <f>SUMIF(A13:A17, C21, E13:E17)</f>
        <v>12</v>
      </c>
      <c r="F21" s="25"/>
      <c r="G21" s="92">
        <f>SUMIF(A13:A17, C21, G13:G17)</f>
        <v>449.82000000000005</v>
      </c>
      <c r="H21" s="5">
        <f>SUMIF(A13:A17, C21, H13:H17)</f>
        <v>2</v>
      </c>
      <c r="I21" s="51"/>
      <c r="J21" s="94">
        <f>SUMIF(A13:A17, C21, J13:J17)</f>
        <v>72.100000000000009</v>
      </c>
      <c r="K21" s="3">
        <f>SUMIF(A13:A17, C21, K13:K17)</f>
        <v>2</v>
      </c>
      <c r="L21" s="55"/>
      <c r="M21" s="95">
        <f>SUMIF(A13:A17,C21,M13:M17)</f>
        <v>164.29</v>
      </c>
      <c r="N21" s="4">
        <f>SUMIF(A13:A17, C21, N13:N17)</f>
        <v>4</v>
      </c>
      <c r="O21" s="25"/>
      <c r="P21" s="96">
        <f>SUMIF(A13:A17, C21, P13:P17)</f>
        <v>328.58</v>
      </c>
      <c r="Q21" s="25"/>
      <c r="R21" s="25"/>
      <c r="S21" s="25"/>
      <c r="T21" s="25"/>
      <c r="U21" s="8"/>
    </row>
    <row r="22" spans="1:21" ht="15.75" thickBot="1">
      <c r="A22" s="25"/>
      <c r="B22" s="25"/>
      <c r="C22" s="62" t="s">
        <v>23</v>
      </c>
      <c r="D22" s="63">
        <f>SUM(D19:D21)</f>
        <v>14</v>
      </c>
      <c r="E22" s="52">
        <f>SUM(E19:E21)</f>
        <v>24</v>
      </c>
      <c r="F22" s="54"/>
      <c r="G22" s="93">
        <f>SUM(G19:G21)</f>
        <v>706.86000000000013</v>
      </c>
      <c r="H22" s="28">
        <f>SUM(H19:H21)</f>
        <v>5</v>
      </c>
      <c r="I22" s="25"/>
      <c r="J22" s="93">
        <f>SUM(J19:J21)</f>
        <v>144.19999999999999</v>
      </c>
      <c r="K22" s="27">
        <f>SUM(K19:K21)</f>
        <v>5</v>
      </c>
      <c r="L22" s="54"/>
      <c r="M22" s="93">
        <f>SUM(M19:M21)</f>
        <v>328.58</v>
      </c>
      <c r="N22" s="28">
        <f>SUM(N19:N21)</f>
        <v>5</v>
      </c>
      <c r="O22" s="25"/>
      <c r="P22" s="93">
        <f>SUM(P19:P21)</f>
        <v>539.80999999999995</v>
      </c>
      <c r="Q22" s="25"/>
      <c r="R22" s="25"/>
      <c r="S22" s="25"/>
      <c r="T22" s="25"/>
      <c r="U22" s="8"/>
    </row>
    <row r="23" spans="1:21" ht="15.75" thickBot="1">
      <c r="A23" s="65"/>
      <c r="B23" s="53"/>
      <c r="C23" s="53"/>
      <c r="D23" s="53"/>
      <c r="E23" s="53"/>
      <c r="F23" s="53"/>
      <c r="G23" s="53"/>
      <c r="H23" s="53">
        <v>9</v>
      </c>
      <c r="I23" s="53"/>
      <c r="J23" s="53"/>
      <c r="K23" s="66"/>
      <c r="L23" s="53"/>
      <c r="M23" s="53"/>
      <c r="N23" s="53"/>
      <c r="O23" s="53"/>
      <c r="P23" s="53"/>
      <c r="Q23" s="25"/>
      <c r="R23" s="25"/>
      <c r="S23" s="25"/>
      <c r="T23" s="25"/>
      <c r="U23" s="8"/>
    </row>
    <row r="24" spans="1:21">
      <c r="A24" s="37"/>
      <c r="E24" s="37"/>
      <c r="Q24" s="25"/>
      <c r="R24" s="25"/>
      <c r="S24" s="25"/>
      <c r="T24" s="25"/>
      <c r="U24" s="8"/>
    </row>
    <row r="25" spans="1:21" ht="15.75" thickBot="1">
      <c r="A25" s="37"/>
      <c r="Q25" s="25"/>
      <c r="R25" s="25"/>
      <c r="S25" s="25"/>
      <c r="T25" s="25"/>
      <c r="U25" s="8"/>
    </row>
    <row r="26" spans="1:21" ht="15.75" thickBot="1">
      <c r="A26" s="218" t="s">
        <v>147</v>
      </c>
      <c r="B26" s="218"/>
      <c r="C26" s="218"/>
      <c r="Q26" s="25"/>
      <c r="R26" t="s">
        <v>23</v>
      </c>
      <c r="S26" s="97">
        <f>SUM(G22,J22,M22,P22)</f>
        <v>1719.45</v>
      </c>
      <c r="T26" s="31"/>
      <c r="U26" s="8"/>
    </row>
    <row r="27" spans="1:21" ht="15.75" thickBot="1">
      <c r="A27" s="37"/>
      <c r="Q27" s="53"/>
      <c r="R27" s="53"/>
      <c r="S27" s="53"/>
      <c r="T27" s="53"/>
      <c r="U27" s="67"/>
    </row>
    <row r="28" spans="1:21">
      <c r="A28" s="37"/>
    </row>
  </sheetData>
  <mergeCells count="12">
    <mergeCell ref="A26:C26"/>
    <mergeCell ref="R13:S13"/>
    <mergeCell ref="R15:S15"/>
    <mergeCell ref="R16:S16"/>
    <mergeCell ref="R14:S14"/>
    <mergeCell ref="A10:C10"/>
    <mergeCell ref="A12:U12"/>
    <mergeCell ref="A1:U1"/>
    <mergeCell ref="R3:S3"/>
    <mergeCell ref="R4:S4"/>
    <mergeCell ref="R5:S5"/>
    <mergeCell ref="R6:S6"/>
  </mergeCells>
  <pageMargins left="0.7" right="0.7" top="0.75" bottom="0.75" header="0.3" footer="0.3"/>
  <pageSetup orientation="portrait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32B0C-297F-4E0E-96FE-E2A845320A9E}">
  <dimension ref="A1:G36"/>
  <sheetViews>
    <sheetView workbookViewId="0">
      <selection activeCell="C27" sqref="C27:C29"/>
    </sheetView>
  </sheetViews>
  <sheetFormatPr defaultRowHeight="15"/>
  <cols>
    <col min="1" max="1" width="10.85546875" customWidth="1"/>
    <col min="2" max="2" width="15.28515625" customWidth="1"/>
    <col min="3" max="3" width="18.28515625" customWidth="1"/>
    <col min="4" max="4" width="25.7109375" customWidth="1"/>
    <col min="5" max="5" width="12.28515625" customWidth="1"/>
    <col min="6" max="6" width="12.7109375" customWidth="1"/>
    <col min="7" max="7" width="14.42578125" customWidth="1"/>
  </cols>
  <sheetData>
    <row r="1" spans="1:7" ht="15.75" thickBot="1">
      <c r="A1" s="197" t="s">
        <v>102</v>
      </c>
      <c r="B1" s="198"/>
      <c r="C1" s="198"/>
      <c r="D1" s="198"/>
      <c r="E1" s="198"/>
      <c r="F1" s="198"/>
      <c r="G1" s="199"/>
    </row>
    <row r="2" spans="1:7" ht="30" customHeight="1" thickBot="1">
      <c r="A2" s="152" t="s">
        <v>91</v>
      </c>
      <c r="B2" s="153" t="s">
        <v>90</v>
      </c>
      <c r="C2" s="153" t="s">
        <v>105</v>
      </c>
      <c r="D2" s="153" t="s">
        <v>92</v>
      </c>
      <c r="E2" s="154" t="s">
        <v>113</v>
      </c>
      <c r="F2" s="154" t="s">
        <v>114</v>
      </c>
      <c r="G2" s="155" t="s">
        <v>93</v>
      </c>
    </row>
    <row r="3" spans="1:7">
      <c r="A3" s="156">
        <v>43973</v>
      </c>
      <c r="B3" s="157" t="s">
        <v>109</v>
      </c>
      <c r="C3" s="22" t="s">
        <v>95</v>
      </c>
      <c r="D3" s="22" t="s">
        <v>97</v>
      </c>
      <c r="E3" s="22" t="s">
        <v>100</v>
      </c>
      <c r="F3" s="22" t="s">
        <v>100</v>
      </c>
      <c r="G3" s="88">
        <v>24.93</v>
      </c>
    </row>
    <row r="4" spans="1:7">
      <c r="A4" s="156">
        <v>43979</v>
      </c>
      <c r="B4" s="157" t="s">
        <v>106</v>
      </c>
      <c r="C4" s="22" t="s">
        <v>99</v>
      </c>
      <c r="D4" s="22" t="s">
        <v>101</v>
      </c>
      <c r="E4" s="22" t="s">
        <v>100</v>
      </c>
      <c r="F4" s="22" t="s">
        <v>100</v>
      </c>
      <c r="G4" s="88">
        <v>2137.5</v>
      </c>
    </row>
    <row r="5" spans="1:7">
      <c r="A5" s="156">
        <v>43987</v>
      </c>
      <c r="B5" s="157" t="s">
        <v>94</v>
      </c>
      <c r="C5" s="22" t="s">
        <v>107</v>
      </c>
      <c r="D5" s="22" t="s">
        <v>94</v>
      </c>
      <c r="E5" s="22" t="s">
        <v>100</v>
      </c>
      <c r="F5" s="22" t="s">
        <v>100</v>
      </c>
      <c r="G5" s="88">
        <v>4820.3</v>
      </c>
    </row>
    <row r="6" spans="1:7">
      <c r="A6" s="1"/>
      <c r="B6" s="157" t="s">
        <v>109</v>
      </c>
      <c r="C6" s="22" t="s">
        <v>95</v>
      </c>
      <c r="D6" s="22" t="s">
        <v>96</v>
      </c>
      <c r="E6" s="22" t="s">
        <v>100</v>
      </c>
      <c r="F6" s="22" t="s">
        <v>100</v>
      </c>
      <c r="G6" s="173"/>
    </row>
    <row r="7" spans="1:7">
      <c r="A7" s="1"/>
      <c r="B7" s="157" t="s">
        <v>109</v>
      </c>
      <c r="C7" s="22" t="s">
        <v>95</v>
      </c>
      <c r="D7" s="22" t="s">
        <v>96</v>
      </c>
      <c r="E7" s="22" t="s">
        <v>100</v>
      </c>
      <c r="F7" s="22" t="s">
        <v>100</v>
      </c>
      <c r="G7" s="173"/>
    </row>
    <row r="8" spans="1:7">
      <c r="A8" s="1"/>
      <c r="B8" s="22"/>
      <c r="C8" s="22" t="s">
        <v>95</v>
      </c>
      <c r="D8" s="22"/>
      <c r="E8" s="22" t="s">
        <v>100</v>
      </c>
      <c r="F8" s="22" t="s">
        <v>100</v>
      </c>
      <c r="G8" s="173"/>
    </row>
    <row r="9" spans="1:7">
      <c r="A9" s="1"/>
      <c r="B9" s="157" t="s">
        <v>104</v>
      </c>
      <c r="C9" s="22" t="s">
        <v>108</v>
      </c>
      <c r="D9" s="22" t="s">
        <v>98</v>
      </c>
      <c r="E9" s="22" t="s">
        <v>100</v>
      </c>
      <c r="F9" s="22" t="s">
        <v>100</v>
      </c>
      <c r="G9" s="173"/>
    </row>
    <row r="10" spans="1:7">
      <c r="A10" s="1"/>
      <c r="B10" s="157"/>
      <c r="C10" s="22"/>
      <c r="D10" s="22"/>
      <c r="E10" s="22"/>
      <c r="F10" s="22"/>
      <c r="G10" s="88"/>
    </row>
    <row r="11" spans="1:7" ht="15.75" thickBot="1">
      <c r="A11" s="149"/>
      <c r="B11" s="158"/>
      <c r="C11" s="150"/>
      <c r="D11" s="150"/>
      <c r="E11" s="150"/>
      <c r="F11" s="150"/>
      <c r="G11" s="159"/>
    </row>
    <row r="12" spans="1:7">
      <c r="A12" s="25"/>
      <c r="B12" s="145"/>
      <c r="C12" s="25"/>
      <c r="D12" s="25"/>
      <c r="E12" s="25"/>
      <c r="F12" s="1" t="s">
        <v>123</v>
      </c>
      <c r="G12" s="88">
        <f>SUMIF(E3:E9, "Y", G3:G9)</f>
        <v>6982.73</v>
      </c>
    </row>
    <row r="13" spans="1:7">
      <c r="A13" s="25"/>
      <c r="B13" s="145"/>
      <c r="C13" s="25"/>
      <c r="D13" s="25"/>
      <c r="E13" s="25"/>
      <c r="F13" s="1" t="s">
        <v>124</v>
      </c>
      <c r="G13" s="88">
        <f>SUMIF(F3:F9, "Y", G3:G9)</f>
        <v>6982.73</v>
      </c>
    </row>
    <row r="14" spans="1:7" ht="15.75" thickBot="1">
      <c r="A14" s="25"/>
      <c r="B14" s="145"/>
      <c r="C14" s="25"/>
      <c r="D14" s="25"/>
      <c r="E14" s="25"/>
      <c r="F14" s="1" t="s">
        <v>125</v>
      </c>
      <c r="G14" s="88">
        <f>G13-G12</f>
        <v>0</v>
      </c>
    </row>
    <row r="15" spans="1:7" ht="15.75" thickBot="1">
      <c r="A15" s="25"/>
      <c r="B15" s="145"/>
      <c r="C15" s="25"/>
      <c r="D15" s="25"/>
      <c r="E15" s="25"/>
      <c r="F15" s="32" t="s">
        <v>23</v>
      </c>
      <c r="G15" s="76">
        <f>SUM(G3:G9)</f>
        <v>6982.73</v>
      </c>
    </row>
    <row r="16" spans="1:7" ht="15.75" thickBot="1">
      <c r="A16" s="25"/>
      <c r="B16" s="25"/>
      <c r="C16" s="25"/>
      <c r="D16" s="25"/>
      <c r="E16" s="25"/>
      <c r="F16" s="25"/>
      <c r="G16" s="144"/>
    </row>
    <row r="17" spans="1:7" ht="15.75" thickBot="1">
      <c r="A17" s="197" t="s">
        <v>103</v>
      </c>
      <c r="B17" s="198"/>
      <c r="C17" s="198"/>
      <c r="D17" s="198"/>
      <c r="E17" s="198"/>
      <c r="F17" s="198"/>
      <c r="G17" s="199"/>
    </row>
    <row r="18" spans="1:7" ht="30.75" thickBot="1">
      <c r="A18" s="152" t="s">
        <v>91</v>
      </c>
      <c r="B18" s="153" t="s">
        <v>90</v>
      </c>
      <c r="C18" s="153" t="s">
        <v>105</v>
      </c>
      <c r="D18" s="153" t="s">
        <v>92</v>
      </c>
      <c r="E18" s="154" t="s">
        <v>113</v>
      </c>
      <c r="F18" s="154" t="s">
        <v>114</v>
      </c>
      <c r="G18" s="155" t="s">
        <v>93</v>
      </c>
    </row>
    <row r="19" spans="1:7">
      <c r="A19" s="146"/>
      <c r="B19" s="147" t="s">
        <v>111</v>
      </c>
      <c r="C19" s="174"/>
      <c r="D19" s="147" t="s">
        <v>119</v>
      </c>
      <c r="E19" s="148" t="s">
        <v>115</v>
      </c>
      <c r="F19" s="148" t="s">
        <v>100</v>
      </c>
      <c r="G19" s="172"/>
    </row>
    <row r="20" spans="1:7">
      <c r="A20" s="1"/>
      <c r="B20" s="22" t="s">
        <v>111</v>
      </c>
      <c r="C20" s="175"/>
      <c r="D20" s="22" t="s">
        <v>118</v>
      </c>
      <c r="E20" s="22" t="s">
        <v>115</v>
      </c>
      <c r="F20" s="22" t="s">
        <v>100</v>
      </c>
      <c r="G20" s="173"/>
    </row>
    <row r="21" spans="1:7">
      <c r="A21" s="1"/>
      <c r="B21" s="22" t="s">
        <v>116</v>
      </c>
      <c r="C21" s="175"/>
      <c r="D21" s="22" t="s">
        <v>117</v>
      </c>
      <c r="E21" s="22" t="s">
        <v>100</v>
      </c>
      <c r="F21" s="22" t="s">
        <v>100</v>
      </c>
      <c r="G21" s="173"/>
    </row>
    <row r="22" spans="1:7">
      <c r="A22" s="1"/>
      <c r="B22" s="22" t="s">
        <v>111</v>
      </c>
      <c r="C22" s="22" t="s">
        <v>133</v>
      </c>
      <c r="D22" s="22" t="s">
        <v>126</v>
      </c>
      <c r="E22" s="22" t="s">
        <v>115</v>
      </c>
      <c r="F22" s="22" t="s">
        <v>100</v>
      </c>
      <c r="G22" s="88">
        <v>1650.6</v>
      </c>
    </row>
    <row r="23" spans="1:7">
      <c r="A23" s="1"/>
      <c r="B23" s="22" t="s">
        <v>111</v>
      </c>
      <c r="C23" s="175"/>
      <c r="D23" s="22" t="s">
        <v>120</v>
      </c>
      <c r="E23" s="22" t="s">
        <v>115</v>
      </c>
      <c r="F23" s="22" t="s">
        <v>100</v>
      </c>
      <c r="G23" s="88">
        <v>222</v>
      </c>
    </row>
    <row r="24" spans="1:7">
      <c r="A24" s="1"/>
      <c r="B24" s="22" t="s">
        <v>42</v>
      </c>
      <c r="C24" s="22" t="s">
        <v>121</v>
      </c>
      <c r="D24" s="22" t="s">
        <v>122</v>
      </c>
      <c r="E24" s="22" t="s">
        <v>115</v>
      </c>
      <c r="F24" s="22" t="s">
        <v>100</v>
      </c>
      <c r="G24" s="173"/>
    </row>
    <row r="25" spans="1:7">
      <c r="A25" s="1"/>
      <c r="B25" s="50" t="s">
        <v>112</v>
      </c>
      <c r="C25" s="175"/>
      <c r="D25" s="50" t="s">
        <v>131</v>
      </c>
      <c r="E25" s="50" t="s">
        <v>115</v>
      </c>
      <c r="F25" s="50" t="s">
        <v>100</v>
      </c>
      <c r="G25" s="173"/>
    </row>
    <row r="26" spans="1:7">
      <c r="A26" s="1"/>
      <c r="B26" s="50" t="s">
        <v>110</v>
      </c>
      <c r="C26" s="22" t="s">
        <v>127</v>
      </c>
      <c r="D26" s="50" t="s">
        <v>128</v>
      </c>
      <c r="E26" s="50" t="s">
        <v>115</v>
      </c>
      <c r="F26" s="50" t="s">
        <v>100</v>
      </c>
      <c r="G26" s="173"/>
    </row>
    <row r="27" spans="1:7">
      <c r="A27" s="1"/>
      <c r="B27" s="50" t="s">
        <v>106</v>
      </c>
      <c r="C27" s="175"/>
      <c r="D27" s="50" t="s">
        <v>129</v>
      </c>
      <c r="E27" s="50" t="s">
        <v>115</v>
      </c>
      <c r="F27" s="50" t="s">
        <v>100</v>
      </c>
      <c r="G27" s="173"/>
    </row>
    <row r="28" spans="1:7">
      <c r="A28" s="1"/>
      <c r="B28" s="50" t="s">
        <v>106</v>
      </c>
      <c r="C28" s="175"/>
      <c r="D28" s="50" t="s">
        <v>130</v>
      </c>
      <c r="E28" s="50" t="s">
        <v>115</v>
      </c>
      <c r="F28" s="50" t="s">
        <v>115</v>
      </c>
      <c r="G28" s="173"/>
    </row>
    <row r="29" spans="1:7">
      <c r="A29" s="1"/>
      <c r="B29" s="50" t="s">
        <v>106</v>
      </c>
      <c r="C29" s="175"/>
      <c r="D29" s="50" t="s">
        <v>132</v>
      </c>
      <c r="E29" s="50" t="s">
        <v>115</v>
      </c>
      <c r="F29" s="50" t="s">
        <v>100</v>
      </c>
      <c r="G29" s="173"/>
    </row>
    <row r="30" spans="1:7">
      <c r="A30" s="1"/>
      <c r="B30" s="50"/>
      <c r="C30" s="22"/>
      <c r="D30" s="50"/>
      <c r="E30" s="50"/>
      <c r="F30" s="50"/>
      <c r="G30" s="88"/>
    </row>
    <row r="31" spans="1:7" ht="15.75" thickBot="1">
      <c r="A31" s="149"/>
      <c r="B31" s="150"/>
      <c r="C31" s="150"/>
      <c r="D31" s="150"/>
      <c r="E31" s="150"/>
      <c r="F31" s="150"/>
      <c r="G31" s="151"/>
    </row>
    <row r="32" spans="1:7">
      <c r="A32" s="25"/>
      <c r="B32" s="25"/>
      <c r="C32" s="25"/>
      <c r="D32" s="25"/>
      <c r="E32" s="25"/>
      <c r="F32" s="1" t="s">
        <v>123</v>
      </c>
      <c r="G32" s="88">
        <f>SUMIF(E19:E24, "Y", G19:G24)</f>
        <v>0</v>
      </c>
    </row>
    <row r="33" spans="1:7">
      <c r="A33" s="25"/>
      <c r="B33" s="25"/>
      <c r="C33" s="25"/>
      <c r="D33" s="25"/>
      <c r="E33" s="25"/>
      <c r="F33" s="1" t="s">
        <v>124</v>
      </c>
      <c r="G33" s="88">
        <f>SUMIF(F19:F24, "Y", G19:G24)</f>
        <v>1872.6</v>
      </c>
    </row>
    <row r="34" spans="1:7" ht="15.75" thickBot="1">
      <c r="A34" s="25"/>
      <c r="B34" s="25"/>
      <c r="C34" s="25"/>
      <c r="D34" s="25"/>
      <c r="E34" s="25"/>
      <c r="F34" s="1" t="s">
        <v>125</v>
      </c>
      <c r="G34" s="88">
        <f>G33-G32</f>
        <v>1872.6</v>
      </c>
    </row>
    <row r="35" spans="1:7" ht="15.75" thickBot="1">
      <c r="A35" s="25"/>
      <c r="B35" s="145"/>
      <c r="C35" s="25"/>
      <c r="D35" s="25"/>
      <c r="E35" s="25"/>
      <c r="F35" s="32" t="s">
        <v>23</v>
      </c>
      <c r="G35" s="76">
        <f>SUM(G19:G24)</f>
        <v>1872.6</v>
      </c>
    </row>
    <row r="36" spans="1:7">
      <c r="A36" s="25"/>
      <c r="B36" s="25"/>
      <c r="C36" s="25"/>
      <c r="D36" s="25"/>
      <c r="E36" s="25"/>
      <c r="F36" s="25"/>
      <c r="G36" s="144"/>
    </row>
  </sheetData>
  <sortState xmlns:xlrd2="http://schemas.microsoft.com/office/spreadsheetml/2017/richdata2" ref="K8:K22">
    <sortCondition ref="K8"/>
  </sortState>
  <mergeCells count="2">
    <mergeCell ref="A1:G1"/>
    <mergeCell ref="A17:G17"/>
  </mergeCells>
  <dataValidations count="1">
    <dataValidation type="list" allowBlank="1" showInputMessage="1" showErrorMessage="1" sqref="B3:B15 B19:B35" xr:uid="{960EA425-9208-420C-B648-90B8265471F9}">
      <formula1>"Cleaning, First Aid, General Supplies, Grounds, Heaters, Maintenance, Payroll, Plumbing, Pumps, Misc"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9B4B5-B7BF-42B6-811F-72F3AF4EDDA8}">
  <dimension ref="A1:AH66"/>
  <sheetViews>
    <sheetView zoomScale="85" zoomScaleNormal="85" workbookViewId="0">
      <pane xSplit="1" ySplit="4" topLeftCell="D12" activePane="bottomRight" state="frozen"/>
      <selection pane="topRight" activeCell="B1" sqref="B1"/>
      <selection pane="bottomLeft" activeCell="A5" sqref="A5"/>
      <selection pane="bottomRight" activeCell="AE14" sqref="AE14"/>
    </sheetView>
  </sheetViews>
  <sheetFormatPr defaultRowHeight="15"/>
  <cols>
    <col min="9" max="9" width="2.7109375" customWidth="1"/>
    <col min="18" max="18" width="2.7109375" customWidth="1"/>
  </cols>
  <sheetData>
    <row r="1" spans="1:34" ht="15.75" customHeight="1" thickBot="1">
      <c r="A1" s="247" t="s">
        <v>55</v>
      </c>
      <c r="B1" s="247"/>
      <c r="C1" s="247"/>
      <c r="D1" s="247"/>
      <c r="E1" s="247"/>
      <c r="F1" s="247"/>
      <c r="G1" s="247"/>
      <c r="H1" s="247"/>
      <c r="I1" s="25"/>
      <c r="J1" s="248" t="s">
        <v>56</v>
      </c>
      <c r="K1" s="249"/>
      <c r="L1" s="249"/>
      <c r="M1" s="249"/>
      <c r="N1" s="249"/>
      <c r="O1" s="249"/>
      <c r="P1" s="249"/>
      <c r="Q1" s="249"/>
      <c r="R1" s="25"/>
      <c r="S1" s="248" t="s">
        <v>57</v>
      </c>
      <c r="T1" s="249"/>
      <c r="U1" s="249"/>
      <c r="V1" s="249"/>
      <c r="W1" s="249"/>
      <c r="X1" s="249"/>
      <c r="Y1" s="249"/>
      <c r="Z1" s="249"/>
    </row>
    <row r="2" spans="1:34">
      <c r="A2" s="237" t="s">
        <v>69</v>
      </c>
      <c r="B2" s="237" t="s">
        <v>70</v>
      </c>
      <c r="C2" s="237" t="s">
        <v>71</v>
      </c>
      <c r="D2" s="237" t="s">
        <v>72</v>
      </c>
      <c r="E2" s="118" t="s">
        <v>73</v>
      </c>
      <c r="F2" s="118" t="s">
        <v>73</v>
      </c>
      <c r="G2" s="118" t="s">
        <v>73</v>
      </c>
      <c r="H2" s="237" t="s">
        <v>83</v>
      </c>
      <c r="I2" s="25"/>
      <c r="J2" s="235" t="s">
        <v>69</v>
      </c>
      <c r="K2" s="235" t="s">
        <v>70</v>
      </c>
      <c r="L2" s="235" t="s">
        <v>71</v>
      </c>
      <c r="M2" s="235" t="s">
        <v>72</v>
      </c>
      <c r="N2" s="119" t="s">
        <v>73</v>
      </c>
      <c r="O2" s="119" t="s">
        <v>73</v>
      </c>
      <c r="P2" s="119" t="s">
        <v>73</v>
      </c>
      <c r="Q2" s="237" t="s">
        <v>83</v>
      </c>
      <c r="R2" s="25"/>
      <c r="S2" s="235" t="s">
        <v>69</v>
      </c>
      <c r="T2" s="235" t="s">
        <v>70</v>
      </c>
      <c r="U2" s="235" t="s">
        <v>71</v>
      </c>
      <c r="V2" s="235" t="s">
        <v>72</v>
      </c>
      <c r="W2" s="119" t="s">
        <v>73</v>
      </c>
      <c r="X2" s="119" t="s">
        <v>73</v>
      </c>
      <c r="Y2" s="119" t="s">
        <v>73</v>
      </c>
      <c r="Z2" s="237" t="s">
        <v>83</v>
      </c>
      <c r="AB2" s="182"/>
      <c r="AC2" s="182"/>
      <c r="AD2" s="182"/>
      <c r="AE2" s="182"/>
      <c r="AF2" s="182"/>
    </row>
    <row r="3" spans="1:34">
      <c r="A3" s="235"/>
      <c r="B3" s="235"/>
      <c r="C3" s="235"/>
      <c r="D3" s="235"/>
      <c r="E3" s="119" t="s">
        <v>74</v>
      </c>
      <c r="F3" s="119" t="s">
        <v>75</v>
      </c>
      <c r="G3" s="119" t="s">
        <v>75</v>
      </c>
      <c r="H3" s="235"/>
      <c r="I3" s="25"/>
      <c r="J3" s="235"/>
      <c r="K3" s="235"/>
      <c r="L3" s="235"/>
      <c r="M3" s="235"/>
      <c r="N3" s="119" t="s">
        <v>74</v>
      </c>
      <c r="O3" s="119" t="s">
        <v>75</v>
      </c>
      <c r="P3" s="119" t="s">
        <v>75</v>
      </c>
      <c r="Q3" s="235"/>
      <c r="R3" s="25"/>
      <c r="S3" s="235"/>
      <c r="T3" s="235"/>
      <c r="U3" s="235"/>
      <c r="V3" s="235"/>
      <c r="W3" s="119" t="s">
        <v>74</v>
      </c>
      <c r="X3" s="119" t="s">
        <v>75</v>
      </c>
      <c r="Y3" s="119" t="s">
        <v>75</v>
      </c>
      <c r="Z3" s="235"/>
      <c r="AB3" s="182"/>
      <c r="AC3" s="182"/>
      <c r="AD3" s="182"/>
      <c r="AE3" s="182"/>
      <c r="AF3" s="182"/>
    </row>
    <row r="4" spans="1:34" ht="15.75" thickBot="1">
      <c r="A4" s="236"/>
      <c r="B4" s="236"/>
      <c r="C4" s="236"/>
      <c r="D4" s="236"/>
      <c r="E4" s="120"/>
      <c r="F4" s="120" t="s">
        <v>76</v>
      </c>
      <c r="G4" s="120" t="s">
        <v>77</v>
      </c>
      <c r="H4" s="236"/>
      <c r="I4" s="25"/>
      <c r="J4" s="236"/>
      <c r="K4" s="236"/>
      <c r="L4" s="236"/>
      <c r="M4" s="236"/>
      <c r="N4" s="120"/>
      <c r="O4" s="120" t="s">
        <v>76</v>
      </c>
      <c r="P4" s="120" t="s">
        <v>77</v>
      </c>
      <c r="Q4" s="236"/>
      <c r="R4" s="25"/>
      <c r="S4" s="236"/>
      <c r="T4" s="236"/>
      <c r="U4" s="236"/>
      <c r="V4" s="236"/>
      <c r="W4" s="120"/>
      <c r="X4" s="120" t="s">
        <v>76</v>
      </c>
      <c r="Y4" s="120" t="s">
        <v>77</v>
      </c>
      <c r="Z4" s="236"/>
      <c r="AB4" s="182"/>
      <c r="AC4" s="169"/>
      <c r="AD4" s="169"/>
      <c r="AE4" s="169"/>
      <c r="AF4" s="169"/>
      <c r="AG4" s="22"/>
    </row>
    <row r="5" spans="1:34" ht="14.45" customHeight="1" thickBot="1">
      <c r="A5" s="229" t="s">
        <v>66</v>
      </c>
      <c r="B5" s="121" t="s">
        <v>67</v>
      </c>
      <c r="C5" s="231">
        <v>43647</v>
      </c>
      <c r="D5" s="229" t="s">
        <v>65</v>
      </c>
      <c r="E5" s="229">
        <v>0</v>
      </c>
      <c r="F5" s="229">
        <v>84</v>
      </c>
      <c r="G5" s="229">
        <v>60</v>
      </c>
      <c r="H5" s="225">
        <f>(F5*3.75-237.5)-E5*30</f>
        <v>77.5</v>
      </c>
      <c r="I5" s="25"/>
      <c r="J5" s="229" t="s">
        <v>66</v>
      </c>
      <c r="K5" s="121" t="s">
        <v>67</v>
      </c>
      <c r="L5" s="231">
        <v>43678</v>
      </c>
      <c r="M5" s="229" t="s">
        <v>65</v>
      </c>
      <c r="N5" s="229">
        <v>0</v>
      </c>
      <c r="O5" s="229">
        <v>85</v>
      </c>
      <c r="P5" s="229">
        <v>66</v>
      </c>
      <c r="Q5" s="225">
        <f>(O5*3.75-237.5)-N5*30</f>
        <v>81.25</v>
      </c>
      <c r="R5" s="25"/>
      <c r="S5" s="229" t="s">
        <v>66</v>
      </c>
      <c r="T5" s="121" t="s">
        <v>67</v>
      </c>
      <c r="U5" s="231">
        <v>43709</v>
      </c>
      <c r="V5" s="229" t="s">
        <v>65</v>
      </c>
      <c r="W5" s="229">
        <v>0</v>
      </c>
      <c r="X5" s="229">
        <v>76</v>
      </c>
      <c r="Y5" s="229">
        <v>56</v>
      </c>
      <c r="Z5" s="225">
        <f>(X5*3.75-237.5)-W5*30</f>
        <v>47.5</v>
      </c>
      <c r="AC5" s="183"/>
      <c r="AD5" s="183"/>
      <c r="AE5" s="183"/>
      <c r="AF5" s="183"/>
      <c r="AG5" s="183"/>
      <c r="AH5" s="22"/>
    </row>
    <row r="6" spans="1:34" ht="15.75" thickBot="1">
      <c r="A6" s="230"/>
      <c r="B6" s="122" t="s">
        <v>68</v>
      </c>
      <c r="C6" s="232"/>
      <c r="D6" s="230"/>
      <c r="E6" s="230"/>
      <c r="F6" s="230"/>
      <c r="G6" s="230"/>
      <c r="H6" s="226"/>
      <c r="I6" s="25"/>
      <c r="J6" s="230"/>
      <c r="K6" s="122" t="s">
        <v>68</v>
      </c>
      <c r="L6" s="232"/>
      <c r="M6" s="230"/>
      <c r="N6" s="230"/>
      <c r="O6" s="230"/>
      <c r="P6" s="230"/>
      <c r="Q6" s="226"/>
      <c r="R6" s="25"/>
      <c r="S6" s="230"/>
      <c r="T6" s="122" t="s">
        <v>68</v>
      </c>
      <c r="U6" s="232"/>
      <c r="V6" s="230"/>
      <c r="W6" s="230"/>
      <c r="X6" s="230"/>
      <c r="Y6" s="230"/>
      <c r="Z6" s="226"/>
      <c r="AB6" s="238" t="s">
        <v>148</v>
      </c>
      <c r="AC6" s="239"/>
      <c r="AD6" s="239"/>
      <c r="AE6" s="239"/>
      <c r="AF6" s="239"/>
      <c r="AG6" s="240"/>
    </row>
    <row r="7" spans="1:34">
      <c r="A7" s="227" t="s">
        <v>66</v>
      </c>
      <c r="B7" s="123" t="s">
        <v>67</v>
      </c>
      <c r="C7" s="233">
        <v>43648</v>
      </c>
      <c r="D7" s="227" t="s">
        <v>65</v>
      </c>
      <c r="E7" s="227">
        <v>0</v>
      </c>
      <c r="F7" s="227">
        <v>83</v>
      </c>
      <c r="G7" s="227">
        <v>60</v>
      </c>
      <c r="H7" s="225">
        <f t="shared" ref="H7" si="0">(F7*3.75-237.5)-E7*30</f>
        <v>73.75</v>
      </c>
      <c r="I7" s="25"/>
      <c r="J7" s="227" t="s">
        <v>66</v>
      </c>
      <c r="K7" s="123" t="s">
        <v>67</v>
      </c>
      <c r="L7" s="233">
        <v>43679</v>
      </c>
      <c r="M7" s="227" t="s">
        <v>65</v>
      </c>
      <c r="N7" s="227">
        <v>0</v>
      </c>
      <c r="O7" s="227">
        <v>82</v>
      </c>
      <c r="P7" s="227">
        <v>64</v>
      </c>
      <c r="Q7" s="225">
        <f t="shared" ref="Q7" si="1">(O7*3.75-237.5)-N7*30</f>
        <v>70</v>
      </c>
      <c r="R7" s="25"/>
      <c r="S7" s="227" t="s">
        <v>66</v>
      </c>
      <c r="T7" s="123" t="s">
        <v>67</v>
      </c>
      <c r="U7" s="233">
        <v>43710</v>
      </c>
      <c r="V7" s="227" t="s">
        <v>65</v>
      </c>
      <c r="W7" s="227">
        <v>0.28000000000000003</v>
      </c>
      <c r="X7" s="227">
        <v>76</v>
      </c>
      <c r="Y7" s="227">
        <v>61</v>
      </c>
      <c r="Z7" s="225">
        <f t="shared" ref="Z7" si="2">(X7*3.75-237.5)-W7*30</f>
        <v>39.1</v>
      </c>
      <c r="AB7" s="241"/>
      <c r="AC7" s="242"/>
      <c r="AD7" s="242"/>
      <c r="AE7" s="242"/>
      <c r="AF7" s="242"/>
      <c r="AG7" s="243"/>
    </row>
    <row r="8" spans="1:34" ht="15.75" thickBot="1">
      <c r="A8" s="228"/>
      <c r="B8" s="124" t="s">
        <v>68</v>
      </c>
      <c r="C8" s="234"/>
      <c r="D8" s="228"/>
      <c r="E8" s="228"/>
      <c r="F8" s="228"/>
      <c r="G8" s="228"/>
      <c r="H8" s="226"/>
      <c r="I8" s="25"/>
      <c r="J8" s="228"/>
      <c r="K8" s="124" t="s">
        <v>68</v>
      </c>
      <c r="L8" s="234"/>
      <c r="M8" s="228"/>
      <c r="N8" s="228"/>
      <c r="O8" s="228"/>
      <c r="P8" s="228"/>
      <c r="Q8" s="226"/>
      <c r="R8" s="25"/>
      <c r="S8" s="228"/>
      <c r="T8" s="124" t="s">
        <v>68</v>
      </c>
      <c r="U8" s="234"/>
      <c r="V8" s="228"/>
      <c r="W8" s="228"/>
      <c r="X8" s="228"/>
      <c r="Y8" s="228"/>
      <c r="Z8" s="226"/>
      <c r="AB8" s="241"/>
      <c r="AC8" s="242"/>
      <c r="AD8" s="242"/>
      <c r="AE8" s="242"/>
      <c r="AF8" s="242"/>
      <c r="AG8" s="243"/>
    </row>
    <row r="9" spans="1:34">
      <c r="A9" s="229" t="s">
        <v>66</v>
      </c>
      <c r="B9" s="121" t="s">
        <v>67</v>
      </c>
      <c r="C9" s="231">
        <v>43649</v>
      </c>
      <c r="D9" s="229" t="s">
        <v>65</v>
      </c>
      <c r="E9" s="229">
        <v>0</v>
      </c>
      <c r="F9" s="229">
        <v>83</v>
      </c>
      <c r="G9" s="229">
        <v>70</v>
      </c>
      <c r="H9" s="225">
        <f t="shared" ref="H9" si="3">(F9*3.75-237.5)-E9*30</f>
        <v>73.75</v>
      </c>
      <c r="I9" s="25"/>
      <c r="J9" s="229" t="s">
        <v>66</v>
      </c>
      <c r="K9" s="121" t="s">
        <v>67</v>
      </c>
      <c r="L9" s="231">
        <v>43680</v>
      </c>
      <c r="M9" s="229" t="s">
        <v>65</v>
      </c>
      <c r="N9" s="229">
        <v>0.56000000000000005</v>
      </c>
      <c r="O9" s="229">
        <v>84</v>
      </c>
      <c r="P9" s="229">
        <v>64</v>
      </c>
      <c r="Q9" s="225">
        <f t="shared" ref="Q9" si="4">(O9*3.75-237.5)-N9*30</f>
        <v>60.7</v>
      </c>
      <c r="R9" s="25"/>
      <c r="S9" s="229" t="s">
        <v>66</v>
      </c>
      <c r="T9" s="121" t="s">
        <v>67</v>
      </c>
      <c r="U9" s="231">
        <v>43711</v>
      </c>
      <c r="V9" s="229" t="s">
        <v>65</v>
      </c>
      <c r="W9" s="229">
        <v>0.01</v>
      </c>
      <c r="X9" s="229">
        <v>80</v>
      </c>
      <c r="Y9" s="229">
        <v>62</v>
      </c>
      <c r="Z9" s="225">
        <f t="shared" ref="Z9" si="5">(X9*3.75-237.5)-W9*30</f>
        <v>62.2</v>
      </c>
      <c r="AB9" s="241"/>
      <c r="AC9" s="242"/>
      <c r="AD9" s="242"/>
      <c r="AE9" s="242"/>
      <c r="AF9" s="242"/>
      <c r="AG9" s="243"/>
    </row>
    <row r="10" spans="1:34" ht="15.75" thickBot="1">
      <c r="A10" s="230"/>
      <c r="B10" s="122" t="s">
        <v>68</v>
      </c>
      <c r="C10" s="232"/>
      <c r="D10" s="230"/>
      <c r="E10" s="230"/>
      <c r="F10" s="230"/>
      <c r="G10" s="230"/>
      <c r="H10" s="226"/>
      <c r="I10" s="25"/>
      <c r="J10" s="230"/>
      <c r="K10" s="122" t="s">
        <v>68</v>
      </c>
      <c r="L10" s="232"/>
      <c r="M10" s="230"/>
      <c r="N10" s="230"/>
      <c r="O10" s="230"/>
      <c r="P10" s="230"/>
      <c r="Q10" s="226"/>
      <c r="R10" s="25"/>
      <c r="S10" s="230"/>
      <c r="T10" s="122" t="s">
        <v>68</v>
      </c>
      <c r="U10" s="232"/>
      <c r="V10" s="230"/>
      <c r="W10" s="230"/>
      <c r="X10" s="230"/>
      <c r="Y10" s="230"/>
      <c r="Z10" s="226"/>
      <c r="AB10" s="241"/>
      <c r="AC10" s="242"/>
      <c r="AD10" s="242"/>
      <c r="AE10" s="242"/>
      <c r="AF10" s="242"/>
      <c r="AG10" s="243"/>
    </row>
    <row r="11" spans="1:34">
      <c r="A11" s="227" t="s">
        <v>66</v>
      </c>
      <c r="B11" s="123" t="s">
        <v>67</v>
      </c>
      <c r="C11" s="233">
        <v>43650</v>
      </c>
      <c r="D11" s="227" t="s">
        <v>65</v>
      </c>
      <c r="E11" s="227">
        <v>0</v>
      </c>
      <c r="F11" s="227">
        <v>88</v>
      </c>
      <c r="G11" s="227">
        <v>67</v>
      </c>
      <c r="H11" s="225">
        <f t="shared" ref="H11" si="6">(F11*3.75-237.5)-E11*30</f>
        <v>92.5</v>
      </c>
      <c r="I11" s="25"/>
      <c r="J11" s="227" t="s">
        <v>66</v>
      </c>
      <c r="K11" s="123" t="s">
        <v>67</v>
      </c>
      <c r="L11" s="233">
        <v>43681</v>
      </c>
      <c r="M11" s="227" t="s">
        <v>65</v>
      </c>
      <c r="N11" s="227">
        <v>0.03</v>
      </c>
      <c r="O11" s="227">
        <v>84</v>
      </c>
      <c r="P11" s="227">
        <v>65</v>
      </c>
      <c r="Q11" s="225">
        <f t="shared" ref="Q11" si="7">(O11*3.75-237.5)-N11*30</f>
        <v>76.599999999999994</v>
      </c>
      <c r="R11" s="25"/>
      <c r="S11" s="227" t="s">
        <v>66</v>
      </c>
      <c r="T11" s="123" t="s">
        <v>67</v>
      </c>
      <c r="U11" s="233">
        <v>43712</v>
      </c>
      <c r="V11" s="227" t="s">
        <v>65</v>
      </c>
      <c r="W11" s="227">
        <v>0.05</v>
      </c>
      <c r="X11" s="227">
        <v>85</v>
      </c>
      <c r="Y11" s="227">
        <v>58</v>
      </c>
      <c r="Z11" s="225">
        <f t="shared" ref="Z11" si="8">(X11*3.75-237.5)-W11*30</f>
        <v>79.75</v>
      </c>
      <c r="AB11" s="241"/>
      <c r="AC11" s="242"/>
      <c r="AD11" s="242"/>
      <c r="AE11" s="242"/>
      <c r="AF11" s="242"/>
      <c r="AG11" s="243"/>
    </row>
    <row r="12" spans="1:34" ht="15.75" thickBot="1">
      <c r="A12" s="228"/>
      <c r="B12" s="124" t="s">
        <v>68</v>
      </c>
      <c r="C12" s="234"/>
      <c r="D12" s="228"/>
      <c r="E12" s="228"/>
      <c r="F12" s="228"/>
      <c r="G12" s="228"/>
      <c r="H12" s="226"/>
      <c r="I12" s="25"/>
      <c r="J12" s="228"/>
      <c r="K12" s="124" t="s">
        <v>68</v>
      </c>
      <c r="L12" s="234"/>
      <c r="M12" s="228"/>
      <c r="N12" s="228"/>
      <c r="O12" s="228"/>
      <c r="P12" s="228"/>
      <c r="Q12" s="226"/>
      <c r="R12" s="25"/>
      <c r="S12" s="228"/>
      <c r="T12" s="124" t="s">
        <v>68</v>
      </c>
      <c r="U12" s="234"/>
      <c r="V12" s="228"/>
      <c r="W12" s="228"/>
      <c r="X12" s="228"/>
      <c r="Y12" s="228"/>
      <c r="Z12" s="226"/>
      <c r="AB12" s="241"/>
      <c r="AC12" s="242"/>
      <c r="AD12" s="242"/>
      <c r="AE12" s="242"/>
      <c r="AF12" s="242"/>
      <c r="AG12" s="243"/>
    </row>
    <row r="13" spans="1:34" ht="15.75" thickBot="1">
      <c r="A13" s="229" t="s">
        <v>66</v>
      </c>
      <c r="B13" s="121" t="s">
        <v>67</v>
      </c>
      <c r="C13" s="231">
        <v>43651</v>
      </c>
      <c r="D13" s="229" t="s">
        <v>65</v>
      </c>
      <c r="E13" s="229">
        <v>0</v>
      </c>
      <c r="F13" s="229">
        <v>84</v>
      </c>
      <c r="G13" s="229">
        <v>65</v>
      </c>
      <c r="H13" s="225">
        <f t="shared" ref="H13" si="9">(F13*3.75-237.5)-E13*30</f>
        <v>77.5</v>
      </c>
      <c r="I13" s="25"/>
      <c r="J13" s="229" t="s">
        <v>66</v>
      </c>
      <c r="K13" s="121" t="s">
        <v>67</v>
      </c>
      <c r="L13" s="231">
        <v>43682</v>
      </c>
      <c r="M13" s="229" t="s">
        <v>65</v>
      </c>
      <c r="N13" s="229">
        <v>0</v>
      </c>
      <c r="O13" s="229">
        <v>80</v>
      </c>
      <c r="P13" s="229">
        <v>63</v>
      </c>
      <c r="Q13" s="225">
        <f t="shared" ref="Q13" si="10">(O13*3.75-237.5)-N13*30</f>
        <v>62.5</v>
      </c>
      <c r="R13" s="25"/>
      <c r="S13" s="229" t="s">
        <v>66</v>
      </c>
      <c r="T13" s="121" t="s">
        <v>67</v>
      </c>
      <c r="U13" s="231">
        <v>43713</v>
      </c>
      <c r="V13" s="229" t="s">
        <v>65</v>
      </c>
      <c r="W13" s="229">
        <v>0</v>
      </c>
      <c r="X13" s="229">
        <v>72</v>
      </c>
      <c r="Y13" s="229">
        <v>58</v>
      </c>
      <c r="Z13" s="225">
        <f t="shared" ref="Z13" si="11">(X13*3.75-237.5)-W13*30</f>
        <v>32.5</v>
      </c>
      <c r="AB13" s="244"/>
      <c r="AC13" s="245"/>
      <c r="AD13" s="245"/>
      <c r="AE13" s="245"/>
      <c r="AF13" s="245"/>
      <c r="AG13" s="246"/>
    </row>
    <row r="14" spans="1:34" ht="15.75" thickBot="1">
      <c r="A14" s="230"/>
      <c r="B14" s="122" t="s">
        <v>68</v>
      </c>
      <c r="C14" s="232"/>
      <c r="D14" s="230"/>
      <c r="E14" s="230"/>
      <c r="F14" s="230"/>
      <c r="G14" s="230"/>
      <c r="H14" s="226"/>
      <c r="I14" s="25"/>
      <c r="J14" s="230"/>
      <c r="K14" s="122" t="s">
        <v>68</v>
      </c>
      <c r="L14" s="232"/>
      <c r="M14" s="230"/>
      <c r="N14" s="230"/>
      <c r="O14" s="230"/>
      <c r="P14" s="230"/>
      <c r="Q14" s="226"/>
      <c r="R14" s="25"/>
      <c r="S14" s="230"/>
      <c r="T14" s="122" t="s">
        <v>68</v>
      </c>
      <c r="U14" s="232"/>
      <c r="V14" s="230"/>
      <c r="W14" s="230"/>
      <c r="X14" s="230"/>
      <c r="Y14" s="230"/>
      <c r="Z14" s="226"/>
    </row>
    <row r="15" spans="1:34">
      <c r="A15" s="227" t="s">
        <v>66</v>
      </c>
      <c r="B15" s="123" t="s">
        <v>67</v>
      </c>
      <c r="C15" s="233">
        <v>43652</v>
      </c>
      <c r="D15" s="227" t="s">
        <v>65</v>
      </c>
      <c r="E15" s="227">
        <v>0.56999999999999995</v>
      </c>
      <c r="F15" s="227">
        <v>84</v>
      </c>
      <c r="G15" s="227">
        <v>72</v>
      </c>
      <c r="H15" s="225">
        <f t="shared" ref="H15" si="12">(F15*3.75-237.5)-E15*30</f>
        <v>60.400000000000006</v>
      </c>
      <c r="I15" s="25"/>
      <c r="J15" s="227" t="s">
        <v>66</v>
      </c>
      <c r="K15" s="123" t="s">
        <v>67</v>
      </c>
      <c r="L15" s="233">
        <v>43683</v>
      </c>
      <c r="M15" s="227" t="s">
        <v>65</v>
      </c>
      <c r="N15" s="227">
        <v>0</v>
      </c>
      <c r="O15" s="227">
        <v>80</v>
      </c>
      <c r="P15" s="227">
        <v>64</v>
      </c>
      <c r="Q15" s="225">
        <f t="shared" ref="Q15" si="13">(O15*3.75-237.5)-N15*30</f>
        <v>62.5</v>
      </c>
      <c r="R15" s="25"/>
      <c r="S15" s="227" t="s">
        <v>66</v>
      </c>
      <c r="T15" s="123" t="s">
        <v>67</v>
      </c>
      <c r="U15" s="233">
        <v>43714</v>
      </c>
      <c r="V15" s="227" t="s">
        <v>65</v>
      </c>
      <c r="W15" s="227">
        <v>0.06</v>
      </c>
      <c r="X15" s="227">
        <v>65</v>
      </c>
      <c r="Y15" s="227">
        <v>54</v>
      </c>
      <c r="Z15" s="225">
        <f t="shared" ref="Z15" si="14">(X15*3.75-237.5)-W15*30</f>
        <v>4.45</v>
      </c>
    </row>
    <row r="16" spans="1:34" ht="15.75" thickBot="1">
      <c r="A16" s="228"/>
      <c r="B16" s="124" t="s">
        <v>68</v>
      </c>
      <c r="C16" s="234"/>
      <c r="D16" s="228"/>
      <c r="E16" s="228"/>
      <c r="F16" s="228"/>
      <c r="G16" s="228"/>
      <c r="H16" s="226"/>
      <c r="I16" s="25"/>
      <c r="J16" s="228"/>
      <c r="K16" s="124" t="s">
        <v>68</v>
      </c>
      <c r="L16" s="234"/>
      <c r="M16" s="228"/>
      <c r="N16" s="228"/>
      <c r="O16" s="228"/>
      <c r="P16" s="228"/>
      <c r="Q16" s="226"/>
      <c r="R16" s="25"/>
      <c r="S16" s="228"/>
      <c r="T16" s="124" t="s">
        <v>68</v>
      </c>
      <c r="U16" s="234"/>
      <c r="V16" s="228"/>
      <c r="W16" s="228"/>
      <c r="X16" s="228"/>
      <c r="Y16" s="228"/>
      <c r="Z16" s="226"/>
    </row>
    <row r="17" spans="1:26">
      <c r="A17" s="229" t="s">
        <v>66</v>
      </c>
      <c r="B17" s="121" t="s">
        <v>67</v>
      </c>
      <c r="C17" s="231">
        <v>43653</v>
      </c>
      <c r="D17" s="229" t="s">
        <v>65</v>
      </c>
      <c r="E17" s="229">
        <v>0</v>
      </c>
      <c r="F17" s="229">
        <v>83</v>
      </c>
      <c r="G17" s="229">
        <v>68</v>
      </c>
      <c r="H17" s="225">
        <f t="shared" ref="H17" si="15">(F17*3.75-237.5)-E17*30</f>
        <v>73.75</v>
      </c>
      <c r="I17" s="25"/>
      <c r="J17" s="229" t="s">
        <v>66</v>
      </c>
      <c r="K17" s="121" t="s">
        <v>67</v>
      </c>
      <c r="L17" s="231">
        <v>43684</v>
      </c>
      <c r="M17" s="229" t="s">
        <v>65</v>
      </c>
      <c r="N17" s="229">
        <v>0.78</v>
      </c>
      <c r="O17" s="229">
        <v>82</v>
      </c>
      <c r="P17" s="229">
        <v>67</v>
      </c>
      <c r="Q17" s="225">
        <f t="shared" ref="Q17" si="16">(O17*3.75-237.5)-N17*30</f>
        <v>46.599999999999994</v>
      </c>
      <c r="R17" s="25"/>
      <c r="S17" s="229" t="s">
        <v>66</v>
      </c>
      <c r="T17" s="121" t="s">
        <v>67</v>
      </c>
      <c r="U17" s="231">
        <v>43715</v>
      </c>
      <c r="V17" s="229" t="s">
        <v>65</v>
      </c>
      <c r="W17" s="229">
        <v>0</v>
      </c>
      <c r="X17" s="229">
        <v>74</v>
      </c>
      <c r="Y17" s="229">
        <v>53</v>
      </c>
      <c r="Z17" s="225">
        <f t="shared" ref="Z17" si="17">(X17*3.75-237.5)-W17*30</f>
        <v>40</v>
      </c>
    </row>
    <row r="18" spans="1:26" ht="15.75" thickBot="1">
      <c r="A18" s="230"/>
      <c r="B18" s="122" t="s">
        <v>68</v>
      </c>
      <c r="C18" s="232"/>
      <c r="D18" s="230"/>
      <c r="E18" s="230"/>
      <c r="F18" s="230"/>
      <c r="G18" s="230"/>
      <c r="H18" s="226"/>
      <c r="I18" s="25"/>
      <c r="J18" s="230"/>
      <c r="K18" s="122" t="s">
        <v>68</v>
      </c>
      <c r="L18" s="232"/>
      <c r="M18" s="230"/>
      <c r="N18" s="230"/>
      <c r="O18" s="230"/>
      <c r="P18" s="230"/>
      <c r="Q18" s="226"/>
      <c r="R18" s="25"/>
      <c r="S18" s="230"/>
      <c r="T18" s="122" t="s">
        <v>68</v>
      </c>
      <c r="U18" s="232"/>
      <c r="V18" s="230"/>
      <c r="W18" s="230"/>
      <c r="X18" s="230"/>
      <c r="Y18" s="230"/>
      <c r="Z18" s="226"/>
    </row>
    <row r="19" spans="1:26">
      <c r="A19" s="227" t="s">
        <v>66</v>
      </c>
      <c r="B19" s="123" t="s">
        <v>67</v>
      </c>
      <c r="C19" s="233">
        <v>43654</v>
      </c>
      <c r="D19" s="227" t="s">
        <v>65</v>
      </c>
      <c r="E19" s="227">
        <v>0.28000000000000003</v>
      </c>
      <c r="F19" s="227">
        <v>74</v>
      </c>
      <c r="G19" s="227">
        <v>64</v>
      </c>
      <c r="H19" s="225">
        <f t="shared" ref="H19" si="18">(F19*3.75-237.5)-E19*30</f>
        <v>31.6</v>
      </c>
      <c r="I19" s="25"/>
      <c r="J19" s="227" t="s">
        <v>66</v>
      </c>
      <c r="K19" s="123" t="s">
        <v>67</v>
      </c>
      <c r="L19" s="233">
        <v>43685</v>
      </c>
      <c r="M19" s="227" t="s">
        <v>65</v>
      </c>
      <c r="N19" s="227">
        <v>0.25</v>
      </c>
      <c r="O19" s="227">
        <v>83</v>
      </c>
      <c r="P19" s="227">
        <v>64</v>
      </c>
      <c r="Q19" s="225">
        <f t="shared" ref="Q19" si="19">(O19*3.75-237.5)-N19*30</f>
        <v>66.25</v>
      </c>
      <c r="R19" s="25"/>
      <c r="S19" s="227" t="s">
        <v>66</v>
      </c>
      <c r="T19" s="123" t="s">
        <v>67</v>
      </c>
      <c r="U19" s="233">
        <v>43716</v>
      </c>
      <c r="V19" s="227" t="s">
        <v>65</v>
      </c>
      <c r="W19" s="227">
        <v>0</v>
      </c>
      <c r="X19" s="227">
        <v>77</v>
      </c>
      <c r="Y19" s="227">
        <v>54</v>
      </c>
      <c r="Z19" s="225">
        <f t="shared" ref="Z19" si="20">(X19*3.75-237.5)-W19*30</f>
        <v>51.25</v>
      </c>
    </row>
    <row r="20" spans="1:26" ht="15.75" thickBot="1">
      <c r="A20" s="228"/>
      <c r="B20" s="124" t="s">
        <v>68</v>
      </c>
      <c r="C20" s="234"/>
      <c r="D20" s="228"/>
      <c r="E20" s="228"/>
      <c r="F20" s="228"/>
      <c r="G20" s="228"/>
      <c r="H20" s="226"/>
      <c r="I20" s="25"/>
      <c r="J20" s="228"/>
      <c r="K20" s="124" t="s">
        <v>68</v>
      </c>
      <c r="L20" s="234"/>
      <c r="M20" s="228"/>
      <c r="N20" s="228"/>
      <c r="O20" s="228"/>
      <c r="P20" s="228"/>
      <c r="Q20" s="226"/>
      <c r="R20" s="25"/>
      <c r="S20" s="228"/>
      <c r="T20" s="124" t="s">
        <v>68</v>
      </c>
      <c r="U20" s="234"/>
      <c r="V20" s="228"/>
      <c r="W20" s="228"/>
      <c r="X20" s="228"/>
      <c r="Y20" s="228"/>
      <c r="Z20" s="226"/>
    </row>
    <row r="21" spans="1:26">
      <c r="A21" s="229" t="s">
        <v>66</v>
      </c>
      <c r="B21" s="121" t="s">
        <v>67</v>
      </c>
      <c r="C21" s="231">
        <v>43655</v>
      </c>
      <c r="D21" s="229" t="s">
        <v>65</v>
      </c>
      <c r="E21" s="229">
        <v>0</v>
      </c>
      <c r="F21" s="229">
        <v>84</v>
      </c>
      <c r="G21" s="229">
        <v>62</v>
      </c>
      <c r="H21" s="225">
        <f t="shared" ref="H21" si="21">(F21*3.75-237.5)-E21*30</f>
        <v>77.5</v>
      </c>
      <c r="I21" s="25"/>
      <c r="J21" s="229" t="s">
        <v>66</v>
      </c>
      <c r="K21" s="121" t="s">
        <v>67</v>
      </c>
      <c r="L21" s="231">
        <v>43686</v>
      </c>
      <c r="M21" s="229" t="s">
        <v>65</v>
      </c>
      <c r="N21" s="229">
        <v>0</v>
      </c>
      <c r="O21" s="229">
        <v>81</v>
      </c>
      <c r="P21" s="229">
        <v>62</v>
      </c>
      <c r="Q21" s="225">
        <f t="shared" ref="Q21" si="22">(O21*3.75-237.5)-N21*30</f>
        <v>66.25</v>
      </c>
      <c r="R21" s="25"/>
      <c r="S21" s="229" t="s">
        <v>66</v>
      </c>
      <c r="T21" s="121" t="s">
        <v>67</v>
      </c>
      <c r="U21" s="231">
        <v>43717</v>
      </c>
      <c r="V21" s="229" t="s">
        <v>65</v>
      </c>
      <c r="W21" s="229">
        <v>0</v>
      </c>
      <c r="X21" s="229">
        <v>76</v>
      </c>
      <c r="Y21" s="229">
        <v>56</v>
      </c>
      <c r="Z21" s="225">
        <f t="shared" ref="Z21" si="23">(X21*3.75-237.5)-W21*30</f>
        <v>47.5</v>
      </c>
    </row>
    <row r="22" spans="1:26" ht="15.75" thickBot="1">
      <c r="A22" s="230"/>
      <c r="B22" s="122" t="s">
        <v>68</v>
      </c>
      <c r="C22" s="232"/>
      <c r="D22" s="230"/>
      <c r="E22" s="230"/>
      <c r="F22" s="230"/>
      <c r="G22" s="230"/>
      <c r="H22" s="226"/>
      <c r="I22" s="25"/>
      <c r="J22" s="230"/>
      <c r="K22" s="122" t="s">
        <v>68</v>
      </c>
      <c r="L22" s="232"/>
      <c r="M22" s="230"/>
      <c r="N22" s="230"/>
      <c r="O22" s="230"/>
      <c r="P22" s="230"/>
      <c r="Q22" s="226"/>
      <c r="R22" s="25"/>
      <c r="S22" s="230"/>
      <c r="T22" s="122" t="s">
        <v>68</v>
      </c>
      <c r="U22" s="232"/>
      <c r="V22" s="230"/>
      <c r="W22" s="230"/>
      <c r="X22" s="230"/>
      <c r="Y22" s="230"/>
      <c r="Z22" s="226"/>
    </row>
    <row r="23" spans="1:26">
      <c r="A23" s="227" t="s">
        <v>66</v>
      </c>
      <c r="B23" s="123" t="s">
        <v>67</v>
      </c>
      <c r="C23" s="233">
        <v>43656</v>
      </c>
      <c r="D23" s="227" t="s">
        <v>65</v>
      </c>
      <c r="E23" s="227">
        <v>0</v>
      </c>
      <c r="F23" s="227">
        <v>86</v>
      </c>
      <c r="G23" s="227">
        <v>62</v>
      </c>
      <c r="H23" s="225">
        <f t="shared" ref="H23" si="24">(F23*3.75-237.5)-E23*30</f>
        <v>85</v>
      </c>
      <c r="I23" s="25"/>
      <c r="J23" s="227" t="s">
        <v>66</v>
      </c>
      <c r="K23" s="123" t="s">
        <v>67</v>
      </c>
      <c r="L23" s="233">
        <v>43687</v>
      </c>
      <c r="M23" s="227" t="s">
        <v>65</v>
      </c>
      <c r="N23" s="227">
        <v>0</v>
      </c>
      <c r="O23" s="227">
        <v>78</v>
      </c>
      <c r="P23" s="227">
        <v>57</v>
      </c>
      <c r="Q23" s="225">
        <f t="shared" ref="Q23" si="25">(O23*3.75-237.5)-N23*30</f>
        <v>55</v>
      </c>
      <c r="R23" s="25"/>
      <c r="S23" s="227" t="s">
        <v>66</v>
      </c>
      <c r="T23" s="123" t="s">
        <v>67</v>
      </c>
      <c r="U23" s="233">
        <v>43718</v>
      </c>
      <c r="V23" s="227" t="s">
        <v>65</v>
      </c>
      <c r="W23" s="227">
        <v>0.06</v>
      </c>
      <c r="X23" s="227">
        <v>75</v>
      </c>
      <c r="Y23" s="227">
        <v>62</v>
      </c>
      <c r="Z23" s="225">
        <f t="shared" ref="Z23" si="26">(X23*3.75-237.5)-W23*30</f>
        <v>41.95</v>
      </c>
    </row>
    <row r="24" spans="1:26" ht="15.75" thickBot="1">
      <c r="A24" s="228"/>
      <c r="B24" s="124" t="s">
        <v>68</v>
      </c>
      <c r="C24" s="234"/>
      <c r="D24" s="228"/>
      <c r="E24" s="228"/>
      <c r="F24" s="228"/>
      <c r="G24" s="228"/>
      <c r="H24" s="226"/>
      <c r="I24" s="25"/>
      <c r="J24" s="228"/>
      <c r="K24" s="124" t="s">
        <v>68</v>
      </c>
      <c r="L24" s="234"/>
      <c r="M24" s="228"/>
      <c r="N24" s="228"/>
      <c r="O24" s="228"/>
      <c r="P24" s="228"/>
      <c r="Q24" s="226"/>
      <c r="R24" s="25"/>
      <c r="S24" s="228"/>
      <c r="T24" s="124" t="s">
        <v>68</v>
      </c>
      <c r="U24" s="234"/>
      <c r="V24" s="228"/>
      <c r="W24" s="228"/>
      <c r="X24" s="228"/>
      <c r="Y24" s="228"/>
      <c r="Z24" s="226"/>
    </row>
    <row r="25" spans="1:26">
      <c r="A25" s="229" t="s">
        <v>66</v>
      </c>
      <c r="B25" s="121" t="s">
        <v>67</v>
      </c>
      <c r="C25" s="231">
        <v>43657</v>
      </c>
      <c r="D25" s="229" t="s">
        <v>65</v>
      </c>
      <c r="E25" s="229">
        <v>3.11</v>
      </c>
      <c r="F25" s="229">
        <v>85</v>
      </c>
      <c r="G25" s="229">
        <v>69</v>
      </c>
      <c r="H25" s="225">
        <f t="shared" ref="H25" si="27">(F25*3.75-237.5)-E25*30</f>
        <v>-12.049999999999997</v>
      </c>
      <c r="I25" s="25"/>
      <c r="J25" s="229" t="s">
        <v>66</v>
      </c>
      <c r="K25" s="121" t="s">
        <v>67</v>
      </c>
      <c r="L25" s="231">
        <v>43688</v>
      </c>
      <c r="M25" s="229" t="s">
        <v>65</v>
      </c>
      <c r="N25" s="229">
        <v>0</v>
      </c>
      <c r="O25" s="229">
        <v>78</v>
      </c>
      <c r="P25" s="229">
        <v>53</v>
      </c>
      <c r="Q25" s="225">
        <f t="shared" ref="Q25" si="28">(O25*3.75-237.5)-N25*30</f>
        <v>55</v>
      </c>
      <c r="R25" s="25"/>
      <c r="S25" s="229" t="s">
        <v>66</v>
      </c>
      <c r="T25" s="121" t="s">
        <v>67</v>
      </c>
      <c r="U25" s="231">
        <v>43719</v>
      </c>
      <c r="V25" s="229" t="s">
        <v>65</v>
      </c>
      <c r="W25" s="229">
        <v>0</v>
      </c>
      <c r="X25" s="229">
        <v>88</v>
      </c>
      <c r="Y25" s="229">
        <v>65</v>
      </c>
      <c r="Z25" s="225">
        <f t="shared" ref="Z25" si="29">(X25*3.75-237.5)-W25*30</f>
        <v>92.5</v>
      </c>
    </row>
    <row r="26" spans="1:26" ht="15.75" thickBot="1">
      <c r="A26" s="230"/>
      <c r="B26" s="122" t="s">
        <v>68</v>
      </c>
      <c r="C26" s="232"/>
      <c r="D26" s="230"/>
      <c r="E26" s="230"/>
      <c r="F26" s="230"/>
      <c r="G26" s="230"/>
      <c r="H26" s="226"/>
      <c r="I26" s="25"/>
      <c r="J26" s="230"/>
      <c r="K26" s="122" t="s">
        <v>68</v>
      </c>
      <c r="L26" s="232"/>
      <c r="M26" s="230"/>
      <c r="N26" s="230"/>
      <c r="O26" s="230"/>
      <c r="P26" s="230"/>
      <c r="Q26" s="226"/>
      <c r="R26" s="25"/>
      <c r="S26" s="230"/>
      <c r="T26" s="122" t="s">
        <v>68</v>
      </c>
      <c r="U26" s="232"/>
      <c r="V26" s="230"/>
      <c r="W26" s="230"/>
      <c r="X26" s="230"/>
      <c r="Y26" s="230"/>
      <c r="Z26" s="226"/>
    </row>
    <row r="27" spans="1:26">
      <c r="A27" s="227" t="s">
        <v>66</v>
      </c>
      <c r="B27" s="123" t="s">
        <v>67</v>
      </c>
      <c r="C27" s="233">
        <v>43658</v>
      </c>
      <c r="D27" s="227" t="s">
        <v>65</v>
      </c>
      <c r="E27" s="227">
        <v>0</v>
      </c>
      <c r="F27" s="227">
        <v>83</v>
      </c>
      <c r="G27" s="227">
        <v>68</v>
      </c>
      <c r="H27" s="225">
        <f t="shared" ref="H27" si="30">(F27*3.75-237.5)-E27*30</f>
        <v>73.75</v>
      </c>
      <c r="I27" s="25"/>
      <c r="J27" s="227" t="s">
        <v>66</v>
      </c>
      <c r="K27" s="123" t="s">
        <v>67</v>
      </c>
      <c r="L27" s="233">
        <v>43689</v>
      </c>
      <c r="M27" s="227" t="s">
        <v>65</v>
      </c>
      <c r="N27" s="227">
        <v>0</v>
      </c>
      <c r="O27" s="227">
        <v>83</v>
      </c>
      <c r="P27" s="227">
        <v>56</v>
      </c>
      <c r="Q27" s="225">
        <f t="shared" ref="Q27" si="31">(O27*3.75-237.5)-N27*30</f>
        <v>73.75</v>
      </c>
      <c r="R27" s="25"/>
      <c r="S27" s="227" t="s">
        <v>66</v>
      </c>
      <c r="T27" s="123" t="s">
        <v>67</v>
      </c>
      <c r="U27" s="233">
        <v>43720</v>
      </c>
      <c r="V27" s="227" t="s">
        <v>65</v>
      </c>
      <c r="W27" s="227">
        <v>0.14000000000000001</v>
      </c>
      <c r="X27" s="227">
        <v>76</v>
      </c>
      <c r="Y27" s="227">
        <v>61</v>
      </c>
      <c r="Z27" s="225">
        <f t="shared" ref="Z27" si="32">(X27*3.75-237.5)-W27*30</f>
        <v>43.3</v>
      </c>
    </row>
    <row r="28" spans="1:26" ht="15.75" thickBot="1">
      <c r="A28" s="228"/>
      <c r="B28" s="124" t="s">
        <v>68</v>
      </c>
      <c r="C28" s="234"/>
      <c r="D28" s="228"/>
      <c r="E28" s="228"/>
      <c r="F28" s="228"/>
      <c r="G28" s="228"/>
      <c r="H28" s="226"/>
      <c r="I28" s="25"/>
      <c r="J28" s="228"/>
      <c r="K28" s="124" t="s">
        <v>68</v>
      </c>
      <c r="L28" s="234"/>
      <c r="M28" s="228"/>
      <c r="N28" s="228"/>
      <c r="O28" s="228"/>
      <c r="P28" s="228"/>
      <c r="Q28" s="226"/>
      <c r="R28" s="25"/>
      <c r="S28" s="228"/>
      <c r="T28" s="124" t="s">
        <v>68</v>
      </c>
      <c r="U28" s="234"/>
      <c r="V28" s="228"/>
      <c r="W28" s="228"/>
      <c r="X28" s="228"/>
      <c r="Y28" s="228"/>
      <c r="Z28" s="226"/>
    </row>
    <row r="29" spans="1:26">
      <c r="A29" s="229" t="s">
        <v>66</v>
      </c>
      <c r="B29" s="121" t="s">
        <v>67</v>
      </c>
      <c r="C29" s="231">
        <v>43659</v>
      </c>
      <c r="D29" s="229" t="s">
        <v>65</v>
      </c>
      <c r="E29" s="229">
        <v>0</v>
      </c>
      <c r="F29" s="229">
        <v>83</v>
      </c>
      <c r="G29" s="229">
        <v>63</v>
      </c>
      <c r="H29" s="225">
        <f t="shared" ref="H29" si="33">(F29*3.75-237.5)-E29*30</f>
        <v>73.75</v>
      </c>
      <c r="I29" s="25"/>
      <c r="J29" s="229" t="s">
        <v>66</v>
      </c>
      <c r="K29" s="121" t="s">
        <v>67</v>
      </c>
      <c r="L29" s="231">
        <v>43690</v>
      </c>
      <c r="M29" s="229" t="s">
        <v>65</v>
      </c>
      <c r="N29" s="229">
        <v>0.03</v>
      </c>
      <c r="O29" s="229">
        <v>77</v>
      </c>
      <c r="P29" s="229">
        <v>67</v>
      </c>
      <c r="Q29" s="225">
        <f t="shared" ref="Q29" si="34">(O29*3.75-237.5)-N29*30</f>
        <v>50.35</v>
      </c>
      <c r="R29" s="25"/>
      <c r="S29" s="229" t="s">
        <v>66</v>
      </c>
      <c r="T29" s="121" t="s">
        <v>67</v>
      </c>
      <c r="U29" s="231">
        <v>43721</v>
      </c>
      <c r="V29" s="229" t="s">
        <v>65</v>
      </c>
      <c r="W29" s="229">
        <v>0</v>
      </c>
      <c r="X29" s="229">
        <v>68</v>
      </c>
      <c r="Y29" s="229">
        <v>52</v>
      </c>
      <c r="Z29" s="225">
        <f t="shared" ref="Z29" si="35">(X29*3.75-237.5)-W29*30</f>
        <v>17.5</v>
      </c>
    </row>
    <row r="30" spans="1:26" ht="15.75" thickBot="1">
      <c r="A30" s="230"/>
      <c r="B30" s="122" t="s">
        <v>68</v>
      </c>
      <c r="C30" s="232"/>
      <c r="D30" s="230"/>
      <c r="E30" s="230"/>
      <c r="F30" s="230"/>
      <c r="G30" s="230"/>
      <c r="H30" s="226"/>
      <c r="I30" s="25"/>
      <c r="J30" s="230"/>
      <c r="K30" s="122" t="s">
        <v>68</v>
      </c>
      <c r="L30" s="232"/>
      <c r="M30" s="230"/>
      <c r="N30" s="230"/>
      <c r="O30" s="230"/>
      <c r="P30" s="230"/>
      <c r="Q30" s="226"/>
      <c r="R30" s="25"/>
      <c r="S30" s="230"/>
      <c r="T30" s="122" t="s">
        <v>68</v>
      </c>
      <c r="U30" s="232"/>
      <c r="V30" s="230"/>
      <c r="W30" s="230"/>
      <c r="X30" s="230"/>
      <c r="Y30" s="230"/>
      <c r="Z30" s="226"/>
    </row>
    <row r="31" spans="1:26">
      <c r="A31" s="227" t="s">
        <v>66</v>
      </c>
      <c r="B31" s="123" t="s">
        <v>67</v>
      </c>
      <c r="C31" s="233">
        <v>43660</v>
      </c>
      <c r="D31" s="227" t="s">
        <v>65</v>
      </c>
      <c r="E31" s="227">
        <v>0</v>
      </c>
      <c r="F31" s="227">
        <v>85</v>
      </c>
      <c r="G31" s="227">
        <v>66</v>
      </c>
      <c r="H31" s="225">
        <f t="shared" ref="H31" si="36">(F31*3.75-237.5)-E31*30</f>
        <v>81.25</v>
      </c>
      <c r="I31" s="25"/>
      <c r="J31" s="227" t="s">
        <v>66</v>
      </c>
      <c r="K31" s="123" t="s">
        <v>67</v>
      </c>
      <c r="L31" s="233">
        <v>43691</v>
      </c>
      <c r="M31" s="227" t="s">
        <v>65</v>
      </c>
      <c r="N31" s="227">
        <v>0.14000000000000001</v>
      </c>
      <c r="O31" s="227">
        <v>79</v>
      </c>
      <c r="P31" s="227">
        <v>66</v>
      </c>
      <c r="Q31" s="225">
        <f t="shared" ref="Q31" si="37">(O31*3.75-237.5)-N31*30</f>
        <v>54.55</v>
      </c>
      <c r="R31" s="25"/>
      <c r="S31" s="227" t="s">
        <v>66</v>
      </c>
      <c r="T31" s="123" t="s">
        <v>67</v>
      </c>
      <c r="U31" s="233">
        <v>43722</v>
      </c>
      <c r="V31" s="227" t="s">
        <v>65</v>
      </c>
      <c r="W31" s="227">
        <v>0</v>
      </c>
      <c r="X31" s="227">
        <v>72</v>
      </c>
      <c r="Y31" s="227">
        <v>56</v>
      </c>
      <c r="Z31" s="225">
        <f t="shared" ref="Z31" si="38">(X31*3.75-237.5)-W31*30</f>
        <v>32.5</v>
      </c>
    </row>
    <row r="32" spans="1:26" ht="15.75" thickBot="1">
      <c r="A32" s="228"/>
      <c r="B32" s="124" t="s">
        <v>68</v>
      </c>
      <c r="C32" s="234"/>
      <c r="D32" s="228"/>
      <c r="E32" s="228"/>
      <c r="F32" s="228"/>
      <c r="G32" s="228"/>
      <c r="H32" s="226"/>
      <c r="I32" s="25"/>
      <c r="J32" s="228"/>
      <c r="K32" s="124" t="s">
        <v>68</v>
      </c>
      <c r="L32" s="234"/>
      <c r="M32" s="228"/>
      <c r="N32" s="228"/>
      <c r="O32" s="228"/>
      <c r="P32" s="228"/>
      <c r="Q32" s="226"/>
      <c r="R32" s="25"/>
      <c r="S32" s="228"/>
      <c r="T32" s="124" t="s">
        <v>68</v>
      </c>
      <c r="U32" s="234"/>
      <c r="V32" s="228"/>
      <c r="W32" s="228"/>
      <c r="X32" s="228"/>
      <c r="Y32" s="228"/>
      <c r="Z32" s="226"/>
    </row>
    <row r="33" spans="1:26">
      <c r="A33" s="229" t="s">
        <v>66</v>
      </c>
      <c r="B33" s="121" t="s">
        <v>67</v>
      </c>
      <c r="C33" s="231">
        <v>43661</v>
      </c>
      <c r="D33" s="229" t="s">
        <v>65</v>
      </c>
      <c r="E33" s="229">
        <v>0</v>
      </c>
      <c r="F33" s="229">
        <v>84</v>
      </c>
      <c r="G33" s="229">
        <v>61</v>
      </c>
      <c r="H33" s="225">
        <f t="shared" ref="H33" si="39">(F33*3.75-237.5)-E33*30</f>
        <v>77.5</v>
      </c>
      <c r="I33" s="25"/>
      <c r="J33" s="229" t="s">
        <v>66</v>
      </c>
      <c r="K33" s="121" t="s">
        <v>67</v>
      </c>
      <c r="L33" s="231">
        <v>43692</v>
      </c>
      <c r="M33" s="229" t="s">
        <v>65</v>
      </c>
      <c r="N33" s="229">
        <v>0</v>
      </c>
      <c r="O33" s="229">
        <v>81</v>
      </c>
      <c r="P33" s="229">
        <v>65</v>
      </c>
      <c r="Q33" s="225">
        <f t="shared" ref="Q33" si="40">(O33*3.75-237.5)-N33*30</f>
        <v>66.25</v>
      </c>
      <c r="R33" s="25"/>
      <c r="S33" s="229" t="s">
        <v>66</v>
      </c>
      <c r="T33" s="121" t="s">
        <v>67</v>
      </c>
      <c r="U33" s="231">
        <v>43723</v>
      </c>
      <c r="V33" s="229" t="s">
        <v>65</v>
      </c>
      <c r="W33" s="229">
        <v>0.01</v>
      </c>
      <c r="X33" s="229">
        <v>80</v>
      </c>
      <c r="Y33" s="229">
        <v>59</v>
      </c>
      <c r="Z33" s="225">
        <f t="shared" ref="Z33" si="41">(X33*3.75-237.5)-W33*30</f>
        <v>62.2</v>
      </c>
    </row>
    <row r="34" spans="1:26" ht="15.75" thickBot="1">
      <c r="A34" s="230"/>
      <c r="B34" s="122" t="s">
        <v>68</v>
      </c>
      <c r="C34" s="232"/>
      <c r="D34" s="230"/>
      <c r="E34" s="230"/>
      <c r="F34" s="230"/>
      <c r="G34" s="230"/>
      <c r="H34" s="226"/>
      <c r="I34" s="25"/>
      <c r="J34" s="230"/>
      <c r="K34" s="122" t="s">
        <v>68</v>
      </c>
      <c r="L34" s="232"/>
      <c r="M34" s="230"/>
      <c r="N34" s="230"/>
      <c r="O34" s="230"/>
      <c r="P34" s="230"/>
      <c r="Q34" s="226"/>
      <c r="R34" s="25"/>
      <c r="S34" s="230"/>
      <c r="T34" s="122" t="s">
        <v>68</v>
      </c>
      <c r="U34" s="232"/>
      <c r="V34" s="230"/>
      <c r="W34" s="230"/>
      <c r="X34" s="230"/>
      <c r="Y34" s="230"/>
      <c r="Z34" s="226"/>
    </row>
    <row r="35" spans="1:26">
      <c r="A35" s="227" t="s">
        <v>66</v>
      </c>
      <c r="B35" s="123" t="s">
        <v>67</v>
      </c>
      <c r="C35" s="233">
        <v>43662</v>
      </c>
      <c r="D35" s="227" t="s">
        <v>65</v>
      </c>
      <c r="E35" s="227">
        <v>0</v>
      </c>
      <c r="F35" s="227">
        <v>87</v>
      </c>
      <c r="G35" s="227">
        <v>61</v>
      </c>
      <c r="H35" s="225">
        <f t="shared" ref="H35" si="42">(F35*3.75-237.5)-E35*30</f>
        <v>88.75</v>
      </c>
      <c r="I35" s="25"/>
      <c r="J35" s="227" t="s">
        <v>66</v>
      </c>
      <c r="K35" s="123" t="s">
        <v>67</v>
      </c>
      <c r="L35" s="233">
        <v>43693</v>
      </c>
      <c r="M35" s="227" t="s">
        <v>65</v>
      </c>
      <c r="N35" s="227">
        <v>0</v>
      </c>
      <c r="O35" s="227">
        <v>79</v>
      </c>
      <c r="P35" s="227">
        <v>63</v>
      </c>
      <c r="Q35" s="225">
        <f t="shared" ref="Q35" si="43">(O35*3.75-237.5)-N35*30</f>
        <v>58.75</v>
      </c>
      <c r="R35" s="25"/>
      <c r="S35" s="227" t="s">
        <v>66</v>
      </c>
      <c r="T35" s="123" t="s">
        <v>67</v>
      </c>
      <c r="U35" s="233">
        <v>43724</v>
      </c>
      <c r="V35" s="227" t="s">
        <v>65</v>
      </c>
      <c r="W35" s="227">
        <v>0</v>
      </c>
      <c r="X35" s="227">
        <v>75</v>
      </c>
      <c r="Y35" s="227">
        <v>60</v>
      </c>
      <c r="Z35" s="225">
        <f t="shared" ref="Z35" si="44">(X35*3.75-237.5)-W35*30</f>
        <v>43.75</v>
      </c>
    </row>
    <row r="36" spans="1:26" ht="15.75" thickBot="1">
      <c r="A36" s="228"/>
      <c r="B36" s="124" t="s">
        <v>68</v>
      </c>
      <c r="C36" s="234"/>
      <c r="D36" s="228"/>
      <c r="E36" s="228"/>
      <c r="F36" s="228"/>
      <c r="G36" s="228"/>
      <c r="H36" s="226"/>
      <c r="I36" s="25"/>
      <c r="J36" s="228"/>
      <c r="K36" s="124" t="s">
        <v>68</v>
      </c>
      <c r="L36" s="234"/>
      <c r="M36" s="228"/>
      <c r="N36" s="228"/>
      <c r="O36" s="228"/>
      <c r="P36" s="228"/>
      <c r="Q36" s="226"/>
      <c r="R36" s="25"/>
      <c r="S36" s="228"/>
      <c r="T36" s="124" t="s">
        <v>68</v>
      </c>
      <c r="U36" s="234"/>
      <c r="V36" s="228"/>
      <c r="W36" s="228"/>
      <c r="X36" s="228"/>
      <c r="Y36" s="228"/>
      <c r="Z36" s="226"/>
    </row>
    <row r="37" spans="1:26">
      <c r="A37" s="229" t="s">
        <v>66</v>
      </c>
      <c r="B37" s="121" t="s">
        <v>67</v>
      </c>
      <c r="C37" s="231">
        <v>43663</v>
      </c>
      <c r="D37" s="229" t="s">
        <v>65</v>
      </c>
      <c r="E37" s="229">
        <v>0.6</v>
      </c>
      <c r="F37" s="229">
        <v>90</v>
      </c>
      <c r="G37" s="229">
        <v>72</v>
      </c>
      <c r="H37" s="225">
        <f t="shared" ref="H37" si="45">(F37*3.75-237.5)-E37*30</f>
        <v>82</v>
      </c>
      <c r="I37" s="25"/>
      <c r="J37" s="229" t="s">
        <v>66</v>
      </c>
      <c r="K37" s="121" t="s">
        <v>67</v>
      </c>
      <c r="L37" s="231">
        <v>43694</v>
      </c>
      <c r="M37" s="229" t="s">
        <v>65</v>
      </c>
      <c r="N37" s="229">
        <v>0.11</v>
      </c>
      <c r="O37" s="229">
        <v>84</v>
      </c>
      <c r="P37" s="229">
        <v>71</v>
      </c>
      <c r="Q37" s="225">
        <f t="shared" ref="Q37" si="46">(O37*3.75-237.5)-N37*30</f>
        <v>74.2</v>
      </c>
      <c r="R37" s="25"/>
      <c r="S37" s="229" t="s">
        <v>66</v>
      </c>
      <c r="T37" s="121" t="s">
        <v>67</v>
      </c>
      <c r="U37" s="231">
        <v>43725</v>
      </c>
      <c r="V37" s="229" t="s">
        <v>65</v>
      </c>
      <c r="W37" s="229">
        <v>0</v>
      </c>
      <c r="X37" s="229">
        <v>73</v>
      </c>
      <c r="Y37" s="229">
        <v>52</v>
      </c>
      <c r="Z37" s="225">
        <f t="shared" ref="Z37" si="47">(X37*3.75-237.5)-W37*30</f>
        <v>36.25</v>
      </c>
    </row>
    <row r="38" spans="1:26" ht="15.75" thickBot="1">
      <c r="A38" s="230"/>
      <c r="B38" s="122" t="s">
        <v>68</v>
      </c>
      <c r="C38" s="232"/>
      <c r="D38" s="230"/>
      <c r="E38" s="230"/>
      <c r="F38" s="230"/>
      <c r="G38" s="230"/>
      <c r="H38" s="226"/>
      <c r="I38" s="25"/>
      <c r="J38" s="230"/>
      <c r="K38" s="122" t="s">
        <v>68</v>
      </c>
      <c r="L38" s="232"/>
      <c r="M38" s="230"/>
      <c r="N38" s="230"/>
      <c r="O38" s="230"/>
      <c r="P38" s="230"/>
      <c r="Q38" s="226"/>
      <c r="R38" s="25"/>
      <c r="S38" s="230"/>
      <c r="T38" s="122" t="s">
        <v>68</v>
      </c>
      <c r="U38" s="232"/>
      <c r="V38" s="230"/>
      <c r="W38" s="230"/>
      <c r="X38" s="230"/>
      <c r="Y38" s="230"/>
      <c r="Z38" s="226"/>
    </row>
    <row r="39" spans="1:26">
      <c r="A39" s="227" t="s">
        <v>66</v>
      </c>
      <c r="B39" s="123" t="s">
        <v>67</v>
      </c>
      <c r="C39" s="233">
        <v>43664</v>
      </c>
      <c r="D39" s="227" t="s">
        <v>65</v>
      </c>
      <c r="E39" s="227">
        <v>0.68</v>
      </c>
      <c r="F39" s="227">
        <v>76</v>
      </c>
      <c r="G39" s="227">
        <v>70</v>
      </c>
      <c r="H39" s="225">
        <f t="shared" ref="H39" si="48">(F39*3.75-237.5)-E39*30</f>
        <v>27.099999999999998</v>
      </c>
      <c r="I39" s="25"/>
      <c r="J39" s="227" t="s">
        <v>66</v>
      </c>
      <c r="K39" s="123" t="s">
        <v>67</v>
      </c>
      <c r="L39" s="233">
        <v>43695</v>
      </c>
      <c r="M39" s="227" t="s">
        <v>65</v>
      </c>
      <c r="N39" s="227">
        <v>0.09</v>
      </c>
      <c r="O39" s="227">
        <v>89</v>
      </c>
      <c r="P39" s="227">
        <v>67</v>
      </c>
      <c r="Q39" s="225">
        <f t="shared" ref="Q39" si="49">(O39*3.75-237.5)-N39*30</f>
        <v>93.55</v>
      </c>
      <c r="R39" s="25"/>
      <c r="S39" s="227" t="s">
        <v>66</v>
      </c>
      <c r="T39" s="123" t="s">
        <v>67</v>
      </c>
      <c r="U39" s="233">
        <v>43726</v>
      </c>
      <c r="V39" s="227" t="s">
        <v>65</v>
      </c>
      <c r="W39" s="227">
        <v>0</v>
      </c>
      <c r="X39" s="227">
        <v>68</v>
      </c>
      <c r="Y39" s="227">
        <v>50</v>
      </c>
      <c r="Z39" s="225">
        <f t="shared" ref="Z39" si="50">(X39*3.75-237.5)-W39*30</f>
        <v>17.5</v>
      </c>
    </row>
    <row r="40" spans="1:26" ht="15.75" thickBot="1">
      <c r="A40" s="228"/>
      <c r="B40" s="124" t="s">
        <v>68</v>
      </c>
      <c r="C40" s="234"/>
      <c r="D40" s="228"/>
      <c r="E40" s="228"/>
      <c r="F40" s="228"/>
      <c r="G40" s="228"/>
      <c r="H40" s="226"/>
      <c r="I40" s="25"/>
      <c r="J40" s="228"/>
      <c r="K40" s="124" t="s">
        <v>68</v>
      </c>
      <c r="L40" s="234"/>
      <c r="M40" s="228"/>
      <c r="N40" s="228"/>
      <c r="O40" s="228"/>
      <c r="P40" s="228"/>
      <c r="Q40" s="226"/>
      <c r="R40" s="25"/>
      <c r="S40" s="228"/>
      <c r="T40" s="124" t="s">
        <v>68</v>
      </c>
      <c r="U40" s="234"/>
      <c r="V40" s="228"/>
      <c r="W40" s="228"/>
      <c r="X40" s="228"/>
      <c r="Y40" s="228"/>
      <c r="Z40" s="226"/>
    </row>
    <row r="41" spans="1:26">
      <c r="A41" s="229" t="s">
        <v>66</v>
      </c>
      <c r="B41" s="121" t="s">
        <v>67</v>
      </c>
      <c r="C41" s="231">
        <v>43665</v>
      </c>
      <c r="D41" s="229" t="s">
        <v>65</v>
      </c>
      <c r="E41" s="229">
        <v>0</v>
      </c>
      <c r="F41" s="229">
        <v>89</v>
      </c>
      <c r="G41" s="229">
        <v>69</v>
      </c>
      <c r="H41" s="225">
        <f t="shared" ref="H41" si="51">(F41*3.75-237.5)-E41*30</f>
        <v>96.25</v>
      </c>
      <c r="I41" s="25"/>
      <c r="J41" s="229" t="s">
        <v>66</v>
      </c>
      <c r="K41" s="121" t="s">
        <v>67</v>
      </c>
      <c r="L41" s="231">
        <v>43696</v>
      </c>
      <c r="M41" s="229" t="s">
        <v>65</v>
      </c>
      <c r="N41" s="229">
        <v>0.02</v>
      </c>
      <c r="O41" s="229">
        <v>90</v>
      </c>
      <c r="P41" s="229">
        <v>66</v>
      </c>
      <c r="Q41" s="225">
        <f t="shared" ref="Q41" si="52">(O41*3.75-237.5)-N41*30</f>
        <v>99.4</v>
      </c>
      <c r="R41" s="25"/>
      <c r="S41" s="229" t="s">
        <v>66</v>
      </c>
      <c r="T41" s="121" t="s">
        <v>67</v>
      </c>
      <c r="U41" s="231">
        <v>43727</v>
      </c>
      <c r="V41" s="229" t="s">
        <v>65</v>
      </c>
      <c r="W41" s="229">
        <v>0</v>
      </c>
      <c r="X41" s="229">
        <v>69</v>
      </c>
      <c r="Y41" s="229">
        <v>42</v>
      </c>
      <c r="Z41" s="225">
        <f t="shared" ref="Z41" si="53">(X41*3.75-237.5)-W41*30</f>
        <v>21.25</v>
      </c>
    </row>
    <row r="42" spans="1:26" ht="15.75" thickBot="1">
      <c r="A42" s="230"/>
      <c r="B42" s="122" t="s">
        <v>68</v>
      </c>
      <c r="C42" s="232"/>
      <c r="D42" s="230"/>
      <c r="E42" s="230"/>
      <c r="F42" s="230"/>
      <c r="G42" s="230"/>
      <c r="H42" s="226"/>
      <c r="I42" s="25"/>
      <c r="J42" s="230"/>
      <c r="K42" s="122" t="s">
        <v>68</v>
      </c>
      <c r="L42" s="232"/>
      <c r="M42" s="230"/>
      <c r="N42" s="230"/>
      <c r="O42" s="230"/>
      <c r="P42" s="230"/>
      <c r="Q42" s="226"/>
      <c r="R42" s="25"/>
      <c r="S42" s="230"/>
      <c r="T42" s="122" t="s">
        <v>68</v>
      </c>
      <c r="U42" s="232"/>
      <c r="V42" s="230"/>
      <c r="W42" s="230"/>
      <c r="X42" s="230"/>
      <c r="Y42" s="230"/>
      <c r="Z42" s="226"/>
    </row>
    <row r="43" spans="1:26">
      <c r="A43" s="227" t="s">
        <v>66</v>
      </c>
      <c r="B43" s="123" t="s">
        <v>67</v>
      </c>
      <c r="C43" s="233">
        <v>43666</v>
      </c>
      <c r="D43" s="227" t="s">
        <v>65</v>
      </c>
      <c r="E43" s="227">
        <v>0</v>
      </c>
      <c r="F43" s="227">
        <v>92</v>
      </c>
      <c r="G43" s="227">
        <v>73</v>
      </c>
      <c r="H43" s="225">
        <f t="shared" ref="H43" si="54">(F43*3.75-237.5)-E43*30</f>
        <v>107.5</v>
      </c>
      <c r="I43" s="25"/>
      <c r="J43" s="227" t="s">
        <v>66</v>
      </c>
      <c r="K43" s="123" t="s">
        <v>67</v>
      </c>
      <c r="L43" s="233">
        <v>43697</v>
      </c>
      <c r="M43" s="227" t="s">
        <v>65</v>
      </c>
      <c r="N43" s="227">
        <v>0</v>
      </c>
      <c r="O43" s="227">
        <v>87</v>
      </c>
      <c r="P43" s="227">
        <v>67</v>
      </c>
      <c r="Q43" s="225">
        <f t="shared" ref="Q43" si="55">(O43*3.75-237.5)-N43*30</f>
        <v>88.75</v>
      </c>
      <c r="R43" s="25"/>
      <c r="S43" s="227" t="s">
        <v>66</v>
      </c>
      <c r="T43" s="123" t="s">
        <v>67</v>
      </c>
      <c r="U43" s="233">
        <v>43728</v>
      </c>
      <c r="V43" s="227" t="s">
        <v>65</v>
      </c>
      <c r="W43" s="227">
        <v>0</v>
      </c>
      <c r="X43" s="227">
        <v>78</v>
      </c>
      <c r="Y43" s="227">
        <v>43</v>
      </c>
      <c r="Z43" s="225">
        <f t="shared" ref="Z43" si="56">(X43*3.75-237.5)-W43*30</f>
        <v>55</v>
      </c>
    </row>
    <row r="44" spans="1:26" ht="15.75" thickBot="1">
      <c r="A44" s="228"/>
      <c r="B44" s="124" t="s">
        <v>68</v>
      </c>
      <c r="C44" s="234"/>
      <c r="D44" s="228"/>
      <c r="E44" s="228"/>
      <c r="F44" s="228"/>
      <c r="G44" s="228"/>
      <c r="H44" s="226"/>
      <c r="I44" s="25"/>
      <c r="J44" s="228"/>
      <c r="K44" s="124" t="s">
        <v>68</v>
      </c>
      <c r="L44" s="234"/>
      <c r="M44" s="228"/>
      <c r="N44" s="228"/>
      <c r="O44" s="228"/>
      <c r="P44" s="228"/>
      <c r="Q44" s="226"/>
      <c r="R44" s="25"/>
      <c r="S44" s="228"/>
      <c r="T44" s="124" t="s">
        <v>68</v>
      </c>
      <c r="U44" s="234"/>
      <c r="V44" s="228"/>
      <c r="W44" s="228"/>
      <c r="X44" s="228"/>
      <c r="Y44" s="228"/>
      <c r="Z44" s="226"/>
    </row>
    <row r="45" spans="1:26">
      <c r="A45" s="229" t="s">
        <v>66</v>
      </c>
      <c r="B45" s="121" t="s">
        <v>67</v>
      </c>
      <c r="C45" s="231">
        <v>43667</v>
      </c>
      <c r="D45" s="229" t="s">
        <v>65</v>
      </c>
      <c r="E45" s="229">
        <v>0</v>
      </c>
      <c r="F45" s="229">
        <v>94</v>
      </c>
      <c r="G45" s="229">
        <v>74</v>
      </c>
      <c r="H45" s="225">
        <f t="shared" ref="H45" si="57">(F45*3.75-237.5)-E45*30</f>
        <v>115</v>
      </c>
      <c r="I45" s="25"/>
      <c r="J45" s="229" t="s">
        <v>66</v>
      </c>
      <c r="K45" s="121" t="s">
        <v>67</v>
      </c>
      <c r="L45" s="231">
        <v>43698</v>
      </c>
      <c r="M45" s="229" t="s">
        <v>65</v>
      </c>
      <c r="N45" s="229">
        <v>0.05</v>
      </c>
      <c r="O45" s="229">
        <v>83</v>
      </c>
      <c r="P45" s="229">
        <v>68</v>
      </c>
      <c r="Q45" s="225">
        <f t="shared" ref="Q45" si="58">(O45*3.75-237.5)-N45*30</f>
        <v>72.25</v>
      </c>
      <c r="R45" s="25"/>
      <c r="S45" s="229" t="s">
        <v>66</v>
      </c>
      <c r="T45" s="121" t="s">
        <v>67</v>
      </c>
      <c r="U45" s="231">
        <v>43729</v>
      </c>
      <c r="V45" s="229" t="s">
        <v>65</v>
      </c>
      <c r="W45" s="229">
        <v>0</v>
      </c>
      <c r="X45" s="229">
        <v>83</v>
      </c>
      <c r="Y45" s="229">
        <v>50</v>
      </c>
      <c r="Z45" s="225">
        <f t="shared" ref="Z45" si="59">(X45*3.75-237.5)-W45*30</f>
        <v>73.75</v>
      </c>
    </row>
    <row r="46" spans="1:26" ht="15.75" thickBot="1">
      <c r="A46" s="230"/>
      <c r="B46" s="122" t="s">
        <v>68</v>
      </c>
      <c r="C46" s="232"/>
      <c r="D46" s="230"/>
      <c r="E46" s="230"/>
      <c r="F46" s="230"/>
      <c r="G46" s="230"/>
      <c r="H46" s="226"/>
      <c r="I46" s="25"/>
      <c r="J46" s="230"/>
      <c r="K46" s="122" t="s">
        <v>68</v>
      </c>
      <c r="L46" s="232"/>
      <c r="M46" s="230"/>
      <c r="N46" s="230"/>
      <c r="O46" s="230"/>
      <c r="P46" s="230"/>
      <c r="Q46" s="226"/>
      <c r="R46" s="25"/>
      <c r="S46" s="230"/>
      <c r="T46" s="122" t="s">
        <v>68</v>
      </c>
      <c r="U46" s="232"/>
      <c r="V46" s="230"/>
      <c r="W46" s="230"/>
      <c r="X46" s="230"/>
      <c r="Y46" s="230"/>
      <c r="Z46" s="226"/>
    </row>
    <row r="47" spans="1:26">
      <c r="A47" s="227" t="s">
        <v>66</v>
      </c>
      <c r="B47" s="123" t="s">
        <v>67</v>
      </c>
      <c r="C47" s="233">
        <v>43668</v>
      </c>
      <c r="D47" s="227" t="s">
        <v>65</v>
      </c>
      <c r="E47" s="227">
        <v>2.67</v>
      </c>
      <c r="F47" s="227">
        <v>86</v>
      </c>
      <c r="G47" s="227">
        <v>67</v>
      </c>
      <c r="H47" s="225">
        <f t="shared" ref="H47" si="60">(F47*3.75-237.5)-E47*30</f>
        <v>4.9000000000000057</v>
      </c>
      <c r="I47" s="25"/>
      <c r="J47" s="227" t="s">
        <v>66</v>
      </c>
      <c r="K47" s="123" t="s">
        <v>67</v>
      </c>
      <c r="L47" s="233">
        <v>43699</v>
      </c>
      <c r="M47" s="227" t="s">
        <v>65</v>
      </c>
      <c r="N47" s="227">
        <v>0.49</v>
      </c>
      <c r="O47" s="227">
        <v>87</v>
      </c>
      <c r="P47" s="227">
        <v>69</v>
      </c>
      <c r="Q47" s="225">
        <f t="shared" ref="Q47" si="61">(O47*3.75-237.5)-N47*30</f>
        <v>74.05</v>
      </c>
      <c r="R47" s="25"/>
      <c r="S47" s="227" t="s">
        <v>66</v>
      </c>
      <c r="T47" s="123" t="s">
        <v>67</v>
      </c>
      <c r="U47" s="233">
        <v>43730</v>
      </c>
      <c r="V47" s="227" t="s">
        <v>65</v>
      </c>
      <c r="W47" s="227">
        <v>0</v>
      </c>
      <c r="X47" s="227">
        <v>87</v>
      </c>
      <c r="Y47" s="227">
        <v>52</v>
      </c>
      <c r="Z47" s="225">
        <f t="shared" ref="Z47" si="62">(X47*3.75-237.5)-W47*30</f>
        <v>88.75</v>
      </c>
    </row>
    <row r="48" spans="1:26" ht="15.75" thickBot="1">
      <c r="A48" s="228"/>
      <c r="B48" s="124" t="s">
        <v>68</v>
      </c>
      <c r="C48" s="234"/>
      <c r="D48" s="228"/>
      <c r="E48" s="228"/>
      <c r="F48" s="228"/>
      <c r="G48" s="228"/>
      <c r="H48" s="226"/>
      <c r="I48" s="25"/>
      <c r="J48" s="228"/>
      <c r="K48" s="124" t="s">
        <v>68</v>
      </c>
      <c r="L48" s="234"/>
      <c r="M48" s="228"/>
      <c r="N48" s="228"/>
      <c r="O48" s="228"/>
      <c r="P48" s="228"/>
      <c r="Q48" s="226"/>
      <c r="R48" s="25"/>
      <c r="S48" s="228"/>
      <c r="T48" s="124" t="s">
        <v>68</v>
      </c>
      <c r="U48" s="234"/>
      <c r="V48" s="228"/>
      <c r="W48" s="228"/>
      <c r="X48" s="228"/>
      <c r="Y48" s="228"/>
      <c r="Z48" s="226"/>
    </row>
    <row r="49" spans="1:26">
      <c r="A49" s="229" t="s">
        <v>66</v>
      </c>
      <c r="B49" s="121" t="s">
        <v>67</v>
      </c>
      <c r="C49" s="231">
        <v>43669</v>
      </c>
      <c r="D49" s="229" t="s">
        <v>65</v>
      </c>
      <c r="E49" s="229">
        <v>0.5</v>
      </c>
      <c r="F49" s="229">
        <v>73</v>
      </c>
      <c r="G49" s="229">
        <v>64</v>
      </c>
      <c r="H49" s="225">
        <f t="shared" ref="H49" si="63">(F49*3.75-237.5)-E49*30</f>
        <v>21.25</v>
      </c>
      <c r="I49" s="25"/>
      <c r="J49" s="229" t="s">
        <v>66</v>
      </c>
      <c r="K49" s="121" t="s">
        <v>67</v>
      </c>
      <c r="L49" s="231">
        <v>43700</v>
      </c>
      <c r="M49" s="229" t="s">
        <v>65</v>
      </c>
      <c r="N49" s="229">
        <v>0.25</v>
      </c>
      <c r="O49" s="229">
        <v>73</v>
      </c>
      <c r="P49" s="229">
        <v>60</v>
      </c>
      <c r="Q49" s="225">
        <f t="shared" ref="Q49" si="64">(O49*3.75-237.5)-N49*30</f>
        <v>28.75</v>
      </c>
      <c r="R49" s="25"/>
      <c r="S49" s="229" t="s">
        <v>66</v>
      </c>
      <c r="T49" s="121" t="s">
        <v>67</v>
      </c>
      <c r="U49" s="231">
        <v>43731</v>
      </c>
      <c r="V49" s="229" t="s">
        <v>65</v>
      </c>
      <c r="W49" s="229">
        <v>7.0000000000000007E-2</v>
      </c>
      <c r="X49" s="229">
        <v>88</v>
      </c>
      <c r="Y49" s="229">
        <v>63</v>
      </c>
      <c r="Z49" s="225">
        <f t="shared" ref="Z49" si="65">(X49*3.75-237.5)-W49*30</f>
        <v>90.4</v>
      </c>
    </row>
    <row r="50" spans="1:26" ht="15.75" thickBot="1">
      <c r="A50" s="230"/>
      <c r="B50" s="122" t="s">
        <v>68</v>
      </c>
      <c r="C50" s="232"/>
      <c r="D50" s="230"/>
      <c r="E50" s="230"/>
      <c r="F50" s="230"/>
      <c r="G50" s="230"/>
      <c r="H50" s="226"/>
      <c r="I50" s="25"/>
      <c r="J50" s="230"/>
      <c r="K50" s="122" t="s">
        <v>68</v>
      </c>
      <c r="L50" s="232"/>
      <c r="M50" s="230"/>
      <c r="N50" s="230"/>
      <c r="O50" s="230"/>
      <c r="P50" s="230"/>
      <c r="Q50" s="226"/>
      <c r="R50" s="25"/>
      <c r="S50" s="230"/>
      <c r="T50" s="122" t="s">
        <v>68</v>
      </c>
      <c r="U50" s="232"/>
      <c r="V50" s="230"/>
      <c r="W50" s="230"/>
      <c r="X50" s="230"/>
      <c r="Y50" s="230"/>
      <c r="Z50" s="226"/>
    </row>
    <row r="51" spans="1:26">
      <c r="A51" s="227" t="s">
        <v>66</v>
      </c>
      <c r="B51" s="123" t="s">
        <v>67</v>
      </c>
      <c r="C51" s="233">
        <v>43670</v>
      </c>
      <c r="D51" s="227" t="s">
        <v>65</v>
      </c>
      <c r="E51" s="227">
        <v>0.01</v>
      </c>
      <c r="F51" s="227">
        <v>80</v>
      </c>
      <c r="G51" s="227">
        <v>62</v>
      </c>
      <c r="H51" s="225">
        <f t="shared" ref="H51" si="66">(F51*3.75-237.5)-E51*30</f>
        <v>62.2</v>
      </c>
      <c r="I51" s="25"/>
      <c r="J51" s="227" t="s">
        <v>66</v>
      </c>
      <c r="K51" s="123" t="s">
        <v>67</v>
      </c>
      <c r="L51" s="233">
        <v>43701</v>
      </c>
      <c r="M51" s="227" t="s">
        <v>65</v>
      </c>
      <c r="N51" s="227">
        <v>0</v>
      </c>
      <c r="O51" s="227">
        <v>71</v>
      </c>
      <c r="P51" s="227">
        <v>56</v>
      </c>
      <c r="Q51" s="225">
        <f t="shared" ref="Q51" si="67">(O51*3.75-237.5)-N51*30</f>
        <v>28.75</v>
      </c>
      <c r="R51" s="25"/>
      <c r="S51" s="227" t="s">
        <v>66</v>
      </c>
      <c r="T51" s="123" t="s">
        <v>67</v>
      </c>
      <c r="U51" s="233">
        <v>43732</v>
      </c>
      <c r="V51" s="227" t="s">
        <v>65</v>
      </c>
      <c r="W51" s="227">
        <v>0</v>
      </c>
      <c r="X51" s="227">
        <v>74</v>
      </c>
      <c r="Y51" s="227">
        <v>54</v>
      </c>
      <c r="Z51" s="225">
        <f t="shared" ref="Z51" si="68">(X51*3.75-237.5)-W51*30</f>
        <v>40</v>
      </c>
    </row>
    <row r="52" spans="1:26" ht="15.75" thickBot="1">
      <c r="A52" s="228"/>
      <c r="B52" s="124" t="s">
        <v>68</v>
      </c>
      <c r="C52" s="234"/>
      <c r="D52" s="228"/>
      <c r="E52" s="228"/>
      <c r="F52" s="228"/>
      <c r="G52" s="228"/>
      <c r="H52" s="226"/>
      <c r="I52" s="25"/>
      <c r="J52" s="228"/>
      <c r="K52" s="124" t="s">
        <v>68</v>
      </c>
      <c r="L52" s="234"/>
      <c r="M52" s="228"/>
      <c r="N52" s="228"/>
      <c r="O52" s="228"/>
      <c r="P52" s="228"/>
      <c r="Q52" s="226"/>
      <c r="R52" s="25"/>
      <c r="S52" s="228"/>
      <c r="T52" s="124" t="s">
        <v>68</v>
      </c>
      <c r="U52" s="234"/>
      <c r="V52" s="228"/>
      <c r="W52" s="228"/>
      <c r="X52" s="228"/>
      <c r="Y52" s="228"/>
      <c r="Z52" s="226"/>
    </row>
    <row r="53" spans="1:26">
      <c r="A53" s="229" t="s">
        <v>66</v>
      </c>
      <c r="B53" s="121" t="s">
        <v>67</v>
      </c>
      <c r="C53" s="231">
        <v>43671</v>
      </c>
      <c r="D53" s="229" t="s">
        <v>65</v>
      </c>
      <c r="E53" s="229">
        <v>0</v>
      </c>
      <c r="F53" s="229">
        <v>81</v>
      </c>
      <c r="G53" s="229">
        <v>62</v>
      </c>
      <c r="H53" s="225">
        <f t="shared" ref="H53" si="69">(F53*3.75-237.5)-E53*30</f>
        <v>66.25</v>
      </c>
      <c r="I53" s="25"/>
      <c r="J53" s="229" t="s">
        <v>66</v>
      </c>
      <c r="K53" s="121" t="s">
        <v>67</v>
      </c>
      <c r="L53" s="231">
        <v>43702</v>
      </c>
      <c r="M53" s="229" t="s">
        <v>65</v>
      </c>
      <c r="N53" s="229">
        <v>0.01</v>
      </c>
      <c r="O53" s="229">
        <v>73</v>
      </c>
      <c r="P53" s="229">
        <v>57</v>
      </c>
      <c r="Q53" s="225">
        <f t="shared" ref="Q53" si="70">(O53*3.75-237.5)-N53*30</f>
        <v>35.950000000000003</v>
      </c>
      <c r="R53" s="25"/>
      <c r="S53" s="229" t="s">
        <v>66</v>
      </c>
      <c r="T53" s="121" t="s">
        <v>67</v>
      </c>
      <c r="U53" s="231">
        <v>43733</v>
      </c>
      <c r="V53" s="229" t="s">
        <v>65</v>
      </c>
      <c r="W53" s="229">
        <v>0</v>
      </c>
      <c r="X53" s="229">
        <v>77</v>
      </c>
      <c r="Y53" s="229">
        <v>48</v>
      </c>
      <c r="Z53" s="225">
        <f t="shared" ref="Z53" si="71">(X53*3.75-237.5)-W53*30</f>
        <v>51.25</v>
      </c>
    </row>
    <row r="54" spans="1:26" ht="15.75" thickBot="1">
      <c r="A54" s="230"/>
      <c r="B54" s="122" t="s">
        <v>68</v>
      </c>
      <c r="C54" s="232"/>
      <c r="D54" s="230"/>
      <c r="E54" s="230"/>
      <c r="F54" s="230"/>
      <c r="G54" s="230"/>
      <c r="H54" s="226"/>
      <c r="I54" s="25"/>
      <c r="J54" s="230"/>
      <c r="K54" s="122" t="s">
        <v>68</v>
      </c>
      <c r="L54" s="232"/>
      <c r="M54" s="230"/>
      <c r="N54" s="230"/>
      <c r="O54" s="230"/>
      <c r="P54" s="230"/>
      <c r="Q54" s="226"/>
      <c r="R54" s="25"/>
      <c r="S54" s="230"/>
      <c r="T54" s="122" t="s">
        <v>68</v>
      </c>
      <c r="U54" s="232"/>
      <c r="V54" s="230"/>
      <c r="W54" s="230"/>
      <c r="X54" s="230"/>
      <c r="Y54" s="230"/>
      <c r="Z54" s="226"/>
    </row>
    <row r="55" spans="1:26">
      <c r="A55" s="227" t="s">
        <v>66</v>
      </c>
      <c r="B55" s="123" t="s">
        <v>67</v>
      </c>
      <c r="C55" s="233">
        <v>43672</v>
      </c>
      <c r="D55" s="227" t="s">
        <v>65</v>
      </c>
      <c r="E55" s="227">
        <v>0</v>
      </c>
      <c r="F55" s="227">
        <v>83</v>
      </c>
      <c r="G55" s="227">
        <v>61</v>
      </c>
      <c r="H55" s="225">
        <f t="shared" ref="H55" si="72">(F55*3.75-237.5)-E55*30</f>
        <v>73.75</v>
      </c>
      <c r="I55" s="25"/>
      <c r="J55" s="227" t="s">
        <v>66</v>
      </c>
      <c r="K55" s="123" t="s">
        <v>67</v>
      </c>
      <c r="L55" s="233">
        <v>43703</v>
      </c>
      <c r="M55" s="227" t="s">
        <v>65</v>
      </c>
      <c r="N55" s="227">
        <v>0</v>
      </c>
      <c r="O55" s="227">
        <v>71</v>
      </c>
      <c r="P55" s="227">
        <v>55</v>
      </c>
      <c r="Q55" s="225">
        <f t="shared" ref="Q55" si="73">(O55*3.75-237.5)-N55*30</f>
        <v>28.75</v>
      </c>
      <c r="R55" s="25"/>
      <c r="S55" s="227" t="s">
        <v>66</v>
      </c>
      <c r="T55" s="123" t="s">
        <v>67</v>
      </c>
      <c r="U55" s="233">
        <v>43734</v>
      </c>
      <c r="V55" s="227" t="s">
        <v>65</v>
      </c>
      <c r="W55" s="227">
        <v>0.01</v>
      </c>
      <c r="X55" s="227">
        <v>78</v>
      </c>
      <c r="Y55" s="227">
        <v>50</v>
      </c>
      <c r="Z55" s="225">
        <f t="shared" ref="Z55" si="74">(X55*3.75-237.5)-W55*30</f>
        <v>54.7</v>
      </c>
    </row>
    <row r="56" spans="1:26" ht="15.75" thickBot="1">
      <c r="A56" s="228"/>
      <c r="B56" s="124" t="s">
        <v>68</v>
      </c>
      <c r="C56" s="234"/>
      <c r="D56" s="228"/>
      <c r="E56" s="228"/>
      <c r="F56" s="228"/>
      <c r="G56" s="228"/>
      <c r="H56" s="226"/>
      <c r="I56" s="25"/>
      <c r="J56" s="228"/>
      <c r="K56" s="124" t="s">
        <v>68</v>
      </c>
      <c r="L56" s="234"/>
      <c r="M56" s="228"/>
      <c r="N56" s="228"/>
      <c r="O56" s="228"/>
      <c r="P56" s="228"/>
      <c r="Q56" s="226"/>
      <c r="R56" s="25"/>
      <c r="S56" s="228"/>
      <c r="T56" s="124" t="s">
        <v>68</v>
      </c>
      <c r="U56" s="234"/>
      <c r="V56" s="228"/>
      <c r="W56" s="228"/>
      <c r="X56" s="228"/>
      <c r="Y56" s="228"/>
      <c r="Z56" s="226"/>
    </row>
    <row r="57" spans="1:26">
      <c r="A57" s="229" t="s">
        <v>66</v>
      </c>
      <c r="B57" s="121" t="s">
        <v>67</v>
      </c>
      <c r="C57" s="231">
        <v>43673</v>
      </c>
      <c r="D57" s="229" t="s">
        <v>65</v>
      </c>
      <c r="E57" s="229">
        <v>0</v>
      </c>
      <c r="F57" s="229">
        <v>85</v>
      </c>
      <c r="G57" s="229">
        <v>63</v>
      </c>
      <c r="H57" s="225">
        <f t="shared" ref="H57" si="75">(F57*3.75-237.5)-E57*30</f>
        <v>81.25</v>
      </c>
      <c r="I57" s="25"/>
      <c r="J57" s="229" t="s">
        <v>66</v>
      </c>
      <c r="K57" s="121" t="s">
        <v>67</v>
      </c>
      <c r="L57" s="231">
        <v>43704</v>
      </c>
      <c r="M57" s="229" t="s">
        <v>65</v>
      </c>
      <c r="N57" s="229">
        <v>0</v>
      </c>
      <c r="O57" s="229">
        <v>75</v>
      </c>
      <c r="P57" s="229">
        <v>54</v>
      </c>
      <c r="Q57" s="225">
        <f t="shared" ref="Q57" si="76">(O57*3.75-237.5)-N57*30</f>
        <v>43.75</v>
      </c>
      <c r="R57" s="25"/>
      <c r="S57" s="229" t="s">
        <v>66</v>
      </c>
      <c r="T57" s="121" t="s">
        <v>67</v>
      </c>
      <c r="U57" s="231">
        <v>43735</v>
      </c>
      <c r="V57" s="229" t="s">
        <v>65</v>
      </c>
      <c r="W57" s="229">
        <v>0</v>
      </c>
      <c r="X57" s="229">
        <v>74</v>
      </c>
      <c r="Y57" s="229">
        <v>48</v>
      </c>
      <c r="Z57" s="225">
        <f t="shared" ref="Z57" si="77">(X57*3.75-237.5)-W57*30</f>
        <v>40</v>
      </c>
    </row>
    <row r="58" spans="1:26" ht="15.75" thickBot="1">
      <c r="A58" s="230"/>
      <c r="B58" s="122" t="s">
        <v>68</v>
      </c>
      <c r="C58" s="232"/>
      <c r="D58" s="230"/>
      <c r="E58" s="230"/>
      <c r="F58" s="230"/>
      <c r="G58" s="230"/>
      <c r="H58" s="226"/>
      <c r="I58" s="25"/>
      <c r="J58" s="230"/>
      <c r="K58" s="122" t="s">
        <v>68</v>
      </c>
      <c r="L58" s="232"/>
      <c r="M58" s="230"/>
      <c r="N58" s="230"/>
      <c r="O58" s="230"/>
      <c r="P58" s="230"/>
      <c r="Q58" s="226"/>
      <c r="R58" s="25"/>
      <c r="S58" s="230"/>
      <c r="T58" s="122" t="s">
        <v>68</v>
      </c>
      <c r="U58" s="232"/>
      <c r="V58" s="230"/>
      <c r="W58" s="230"/>
      <c r="X58" s="230"/>
      <c r="Y58" s="230"/>
      <c r="Z58" s="226"/>
    </row>
    <row r="59" spans="1:26">
      <c r="A59" s="227" t="s">
        <v>66</v>
      </c>
      <c r="B59" s="123" t="s">
        <v>67</v>
      </c>
      <c r="C59" s="233">
        <v>43674</v>
      </c>
      <c r="D59" s="227" t="s">
        <v>65</v>
      </c>
      <c r="E59" s="227">
        <v>0.01</v>
      </c>
      <c r="F59" s="227">
        <v>87</v>
      </c>
      <c r="G59" s="227">
        <v>64</v>
      </c>
      <c r="H59" s="225">
        <f t="shared" ref="H59" si="78">(F59*3.75-237.5)-E59*30</f>
        <v>88.45</v>
      </c>
      <c r="I59" s="25"/>
      <c r="J59" s="227" t="s">
        <v>66</v>
      </c>
      <c r="K59" s="123" t="s">
        <v>67</v>
      </c>
      <c r="L59" s="233">
        <v>43705</v>
      </c>
      <c r="M59" s="227" t="s">
        <v>65</v>
      </c>
      <c r="N59" s="227">
        <v>0.1</v>
      </c>
      <c r="O59" s="227">
        <v>76</v>
      </c>
      <c r="P59" s="227">
        <v>60</v>
      </c>
      <c r="Q59" s="225">
        <f t="shared" ref="Q59" si="79">(O59*3.75-237.5)-N59*30</f>
        <v>44.5</v>
      </c>
      <c r="R59" s="25"/>
      <c r="S59" s="227" t="s">
        <v>66</v>
      </c>
      <c r="T59" s="123" t="s">
        <v>67</v>
      </c>
      <c r="U59" s="233">
        <v>43736</v>
      </c>
      <c r="V59" s="227" t="s">
        <v>65</v>
      </c>
      <c r="W59" s="227">
        <v>0</v>
      </c>
      <c r="X59" s="227">
        <v>82</v>
      </c>
      <c r="Y59" s="227">
        <v>51</v>
      </c>
      <c r="Z59" s="225">
        <f t="shared" ref="Z59" si="80">(X59*3.75-237.5)-W59*30</f>
        <v>70</v>
      </c>
    </row>
    <row r="60" spans="1:26" ht="15.75" thickBot="1">
      <c r="A60" s="228"/>
      <c r="B60" s="124" t="s">
        <v>68</v>
      </c>
      <c r="C60" s="234"/>
      <c r="D60" s="228"/>
      <c r="E60" s="228"/>
      <c r="F60" s="228"/>
      <c r="G60" s="228"/>
      <c r="H60" s="226"/>
      <c r="I60" s="25"/>
      <c r="J60" s="228"/>
      <c r="K60" s="124" t="s">
        <v>68</v>
      </c>
      <c r="L60" s="234"/>
      <c r="M60" s="228"/>
      <c r="N60" s="228"/>
      <c r="O60" s="228"/>
      <c r="P60" s="228"/>
      <c r="Q60" s="226"/>
      <c r="R60" s="25"/>
      <c r="S60" s="228"/>
      <c r="T60" s="124" t="s">
        <v>68</v>
      </c>
      <c r="U60" s="234"/>
      <c r="V60" s="228"/>
      <c r="W60" s="228"/>
      <c r="X60" s="228"/>
      <c r="Y60" s="228"/>
      <c r="Z60" s="226"/>
    </row>
    <row r="61" spans="1:26">
      <c r="A61" s="229" t="s">
        <v>66</v>
      </c>
      <c r="B61" s="121" t="s">
        <v>67</v>
      </c>
      <c r="C61" s="231">
        <v>43675</v>
      </c>
      <c r="D61" s="229" t="s">
        <v>65</v>
      </c>
      <c r="E61" s="229">
        <v>0</v>
      </c>
      <c r="F61" s="229">
        <v>88</v>
      </c>
      <c r="G61" s="229">
        <v>66</v>
      </c>
      <c r="H61" s="225">
        <f t="shared" ref="H61" si="81">(F61*3.75-237.5)-E61*30</f>
        <v>92.5</v>
      </c>
      <c r="I61" s="25"/>
      <c r="J61" s="229" t="s">
        <v>66</v>
      </c>
      <c r="K61" s="121" t="s">
        <v>67</v>
      </c>
      <c r="L61" s="231">
        <v>43706</v>
      </c>
      <c r="M61" s="229" t="s">
        <v>65</v>
      </c>
      <c r="N61" s="229">
        <v>0</v>
      </c>
      <c r="O61" s="229">
        <v>80</v>
      </c>
      <c r="P61" s="229">
        <v>59</v>
      </c>
      <c r="Q61" s="225">
        <f t="shared" ref="Q61" si="82">(O61*3.75-237.5)-N61*30</f>
        <v>62.5</v>
      </c>
      <c r="R61" s="25"/>
      <c r="S61" s="229" t="s">
        <v>66</v>
      </c>
      <c r="T61" s="121" t="s">
        <v>67</v>
      </c>
      <c r="U61" s="231">
        <v>43737</v>
      </c>
      <c r="V61" s="229" t="s">
        <v>65</v>
      </c>
      <c r="W61" s="229">
        <v>0</v>
      </c>
      <c r="X61" s="229">
        <v>76</v>
      </c>
      <c r="Y61" s="229">
        <v>58</v>
      </c>
      <c r="Z61" s="225">
        <f t="shared" ref="Z61" si="83">(X61*3.75-237.5)-W61*30</f>
        <v>47.5</v>
      </c>
    </row>
    <row r="62" spans="1:26" ht="15.75" thickBot="1">
      <c r="A62" s="230"/>
      <c r="B62" s="122" t="s">
        <v>68</v>
      </c>
      <c r="C62" s="232"/>
      <c r="D62" s="230"/>
      <c r="E62" s="230"/>
      <c r="F62" s="230"/>
      <c r="G62" s="230"/>
      <c r="H62" s="226"/>
      <c r="I62" s="25"/>
      <c r="J62" s="230"/>
      <c r="K62" s="122" t="s">
        <v>68</v>
      </c>
      <c r="L62" s="232"/>
      <c r="M62" s="230"/>
      <c r="N62" s="230"/>
      <c r="O62" s="230"/>
      <c r="P62" s="230"/>
      <c r="Q62" s="226"/>
      <c r="R62" s="25"/>
      <c r="S62" s="230"/>
      <c r="T62" s="122" t="s">
        <v>68</v>
      </c>
      <c r="U62" s="232"/>
      <c r="V62" s="230"/>
      <c r="W62" s="230"/>
      <c r="X62" s="230"/>
      <c r="Y62" s="230"/>
      <c r="Z62" s="226"/>
    </row>
    <row r="63" spans="1:26">
      <c r="A63" s="227" t="s">
        <v>66</v>
      </c>
      <c r="B63" s="123" t="s">
        <v>67</v>
      </c>
      <c r="C63" s="233">
        <v>43676</v>
      </c>
      <c r="D63" s="227" t="s">
        <v>65</v>
      </c>
      <c r="E63" s="227">
        <v>0</v>
      </c>
      <c r="F63" s="227">
        <v>91</v>
      </c>
      <c r="G63" s="227">
        <v>69</v>
      </c>
      <c r="H63" s="225">
        <f t="shared" ref="H63" si="84">(F63*3.75-237.5)-E63*30</f>
        <v>103.75</v>
      </c>
      <c r="I63" s="25"/>
      <c r="J63" s="227" t="s">
        <v>66</v>
      </c>
      <c r="K63" s="123" t="s">
        <v>67</v>
      </c>
      <c r="L63" s="233">
        <v>43707</v>
      </c>
      <c r="M63" s="227" t="s">
        <v>65</v>
      </c>
      <c r="N63" s="227">
        <v>0</v>
      </c>
      <c r="O63" s="227">
        <v>85</v>
      </c>
      <c r="P63" s="227">
        <v>54</v>
      </c>
      <c r="Q63" s="225">
        <f t="shared" ref="Q63" si="85">(O63*3.75-237.5)-N63*30</f>
        <v>81.25</v>
      </c>
      <c r="R63" s="25"/>
      <c r="S63" s="227" t="s">
        <v>66</v>
      </c>
      <c r="T63" s="123" t="s">
        <v>67</v>
      </c>
      <c r="U63" s="233">
        <v>43738</v>
      </c>
      <c r="V63" s="227" t="s">
        <v>65</v>
      </c>
      <c r="W63" s="227">
        <v>0</v>
      </c>
      <c r="X63" s="227">
        <v>67</v>
      </c>
      <c r="Y63" s="227">
        <v>57</v>
      </c>
      <c r="Z63" s="225">
        <f t="shared" ref="Z63" si="86">(X63*3.75-237.5)-W63*30</f>
        <v>13.75</v>
      </c>
    </row>
    <row r="64" spans="1:26" ht="15.75" thickBot="1">
      <c r="A64" s="228"/>
      <c r="B64" s="124" t="s">
        <v>68</v>
      </c>
      <c r="C64" s="234"/>
      <c r="D64" s="228"/>
      <c r="E64" s="228"/>
      <c r="F64" s="228"/>
      <c r="G64" s="228"/>
      <c r="H64" s="226"/>
      <c r="I64" s="25"/>
      <c r="J64" s="228"/>
      <c r="K64" s="124" t="s">
        <v>68</v>
      </c>
      <c r="L64" s="234"/>
      <c r="M64" s="228"/>
      <c r="N64" s="228"/>
      <c r="O64" s="228"/>
      <c r="P64" s="228"/>
      <c r="Q64" s="226"/>
      <c r="R64" s="25"/>
      <c r="S64" s="228"/>
      <c r="T64" s="124" t="s">
        <v>68</v>
      </c>
      <c r="U64" s="234"/>
      <c r="V64" s="228"/>
      <c r="W64" s="228"/>
      <c r="X64" s="228"/>
      <c r="Y64" s="228"/>
      <c r="Z64" s="226"/>
    </row>
    <row r="65" spans="1:18">
      <c r="A65" s="229" t="s">
        <v>66</v>
      </c>
      <c r="B65" s="121" t="s">
        <v>67</v>
      </c>
      <c r="C65" s="231">
        <v>43677</v>
      </c>
      <c r="D65" s="229" t="s">
        <v>65</v>
      </c>
      <c r="E65" s="229">
        <v>0.14000000000000001</v>
      </c>
      <c r="F65" s="229">
        <v>83</v>
      </c>
      <c r="G65" s="229">
        <v>67</v>
      </c>
      <c r="H65" s="225">
        <f t="shared" ref="H65" si="87">(F65*3.75-237.5)-E65*30</f>
        <v>69.55</v>
      </c>
      <c r="I65" s="25"/>
      <c r="J65" s="229" t="s">
        <v>66</v>
      </c>
      <c r="K65" s="121" t="s">
        <v>67</v>
      </c>
      <c r="L65" s="231">
        <v>43708</v>
      </c>
      <c r="M65" s="229" t="s">
        <v>65</v>
      </c>
      <c r="N65" s="229">
        <v>0</v>
      </c>
      <c r="O65" s="229">
        <v>77</v>
      </c>
      <c r="P65" s="229">
        <v>60</v>
      </c>
      <c r="Q65" s="225">
        <f t="shared" ref="Q65" si="88">(O65*3.75-237.5)-N65*30</f>
        <v>51.25</v>
      </c>
      <c r="R65" s="25"/>
    </row>
    <row r="66" spans="1:18" ht="15.75" thickBot="1">
      <c r="A66" s="230"/>
      <c r="B66" s="122" t="s">
        <v>68</v>
      </c>
      <c r="C66" s="232"/>
      <c r="D66" s="230"/>
      <c r="E66" s="230"/>
      <c r="F66" s="230"/>
      <c r="G66" s="230"/>
      <c r="H66" s="226"/>
      <c r="I66" s="25"/>
      <c r="J66" s="230"/>
      <c r="K66" s="122" t="s">
        <v>68</v>
      </c>
      <c r="L66" s="232"/>
      <c r="M66" s="230"/>
      <c r="N66" s="230"/>
      <c r="O66" s="230"/>
      <c r="P66" s="230"/>
      <c r="Q66" s="226"/>
      <c r="R66" s="25"/>
    </row>
  </sheetData>
  <mergeCells count="663">
    <mergeCell ref="AB6:AG13"/>
    <mergeCell ref="A1:H1"/>
    <mergeCell ref="J1:Q1"/>
    <mergeCell ref="S1:Z1"/>
    <mergeCell ref="A2:A4"/>
    <mergeCell ref="B2:B4"/>
    <mergeCell ref="C2:C4"/>
    <mergeCell ref="D2:D4"/>
    <mergeCell ref="H2:H4"/>
    <mergeCell ref="J2:J4"/>
    <mergeCell ref="K2:K4"/>
    <mergeCell ref="M5:M6"/>
    <mergeCell ref="N5:N6"/>
    <mergeCell ref="O5:O6"/>
    <mergeCell ref="P5:P6"/>
    <mergeCell ref="Q5:Q6"/>
    <mergeCell ref="V2:V4"/>
    <mergeCell ref="Z2:Z4"/>
    <mergeCell ref="A5:A6"/>
    <mergeCell ref="C5:C6"/>
    <mergeCell ref="D5:D6"/>
    <mergeCell ref="E5:E6"/>
    <mergeCell ref="F5:F6"/>
    <mergeCell ref="G5:G6"/>
    <mergeCell ref="H5:H6"/>
    <mergeCell ref="J5:J6"/>
    <mergeCell ref="L2:L4"/>
    <mergeCell ref="M2:M4"/>
    <mergeCell ref="Q2:Q4"/>
    <mergeCell ref="S2:S4"/>
    <mergeCell ref="T2:T4"/>
    <mergeCell ref="U2:U4"/>
    <mergeCell ref="Z7:Z8"/>
    <mergeCell ref="M7:M8"/>
    <mergeCell ref="N7:N8"/>
    <mergeCell ref="O7:O8"/>
    <mergeCell ref="P7:P8"/>
    <mergeCell ref="Q7:Q8"/>
    <mergeCell ref="S7:S8"/>
    <mergeCell ref="Z5:Z6"/>
    <mergeCell ref="S5:S6"/>
    <mergeCell ref="U5:U6"/>
    <mergeCell ref="V5:V6"/>
    <mergeCell ref="W5:W6"/>
    <mergeCell ref="X5:X6"/>
    <mergeCell ref="Y5:Y6"/>
    <mergeCell ref="L5:L6"/>
    <mergeCell ref="A7:A8"/>
    <mergeCell ref="C7:C8"/>
    <mergeCell ref="D7:D8"/>
    <mergeCell ref="E7:E8"/>
    <mergeCell ref="F7:F8"/>
    <mergeCell ref="G7:G8"/>
    <mergeCell ref="H7:H8"/>
    <mergeCell ref="J7:J8"/>
    <mergeCell ref="L7:L8"/>
    <mergeCell ref="D9:D10"/>
    <mergeCell ref="E9:E10"/>
    <mergeCell ref="F9:F10"/>
    <mergeCell ref="G9:G10"/>
    <mergeCell ref="U7:U8"/>
    <mergeCell ref="V7:V8"/>
    <mergeCell ref="W7:W8"/>
    <mergeCell ref="X7:X8"/>
    <mergeCell ref="Y7:Y8"/>
    <mergeCell ref="X9:X10"/>
    <mergeCell ref="Y9:Y10"/>
    <mergeCell ref="Z9:Z10"/>
    <mergeCell ref="A11:A12"/>
    <mergeCell ref="C11:C12"/>
    <mergeCell ref="D11:D12"/>
    <mergeCell ref="E11:E12"/>
    <mergeCell ref="F11:F12"/>
    <mergeCell ref="G11:G12"/>
    <mergeCell ref="H11:H12"/>
    <mergeCell ref="P9:P10"/>
    <mergeCell ref="Q9:Q10"/>
    <mergeCell ref="S9:S10"/>
    <mergeCell ref="U9:U10"/>
    <mergeCell ref="V9:V10"/>
    <mergeCell ref="W9:W10"/>
    <mergeCell ref="H9:H10"/>
    <mergeCell ref="J9:J10"/>
    <mergeCell ref="L9:L10"/>
    <mergeCell ref="M9:M10"/>
    <mergeCell ref="N9:N10"/>
    <mergeCell ref="O9:O10"/>
    <mergeCell ref="A9:A10"/>
    <mergeCell ref="C9:C10"/>
    <mergeCell ref="Y11:Y12"/>
    <mergeCell ref="Z11:Z12"/>
    <mergeCell ref="A13:A14"/>
    <mergeCell ref="C13:C14"/>
    <mergeCell ref="D13:D14"/>
    <mergeCell ref="E13:E14"/>
    <mergeCell ref="F13:F14"/>
    <mergeCell ref="G13:G14"/>
    <mergeCell ref="H13:H14"/>
    <mergeCell ref="J13:J14"/>
    <mergeCell ref="Q11:Q12"/>
    <mergeCell ref="S11:S12"/>
    <mergeCell ref="U11:U12"/>
    <mergeCell ref="V11:V12"/>
    <mergeCell ref="W11:W12"/>
    <mergeCell ref="X11:X12"/>
    <mergeCell ref="J11:J12"/>
    <mergeCell ref="L11:L12"/>
    <mergeCell ref="M11:M12"/>
    <mergeCell ref="N11:N12"/>
    <mergeCell ref="O11:O12"/>
    <mergeCell ref="P11:P12"/>
    <mergeCell ref="Z13:Z14"/>
    <mergeCell ref="A15:A16"/>
    <mergeCell ref="C15:C16"/>
    <mergeCell ref="D15:D16"/>
    <mergeCell ref="E15:E16"/>
    <mergeCell ref="F15:F16"/>
    <mergeCell ref="G15:G16"/>
    <mergeCell ref="H15:H16"/>
    <mergeCell ref="J15:J16"/>
    <mergeCell ref="L15:L16"/>
    <mergeCell ref="S13:S14"/>
    <mergeCell ref="U13:U14"/>
    <mergeCell ref="V13:V14"/>
    <mergeCell ref="W13:W14"/>
    <mergeCell ref="X13:X14"/>
    <mergeCell ref="Y13:Y14"/>
    <mergeCell ref="L13:L14"/>
    <mergeCell ref="M13:M14"/>
    <mergeCell ref="N13:N14"/>
    <mergeCell ref="O13:O14"/>
    <mergeCell ref="P13:P14"/>
    <mergeCell ref="Q13:Q14"/>
    <mergeCell ref="W15:W16"/>
    <mergeCell ref="X15:X16"/>
    <mergeCell ref="Y15:Y16"/>
    <mergeCell ref="Z15:Z16"/>
    <mergeCell ref="M15:M16"/>
    <mergeCell ref="N15:N16"/>
    <mergeCell ref="O15:O16"/>
    <mergeCell ref="P15:P16"/>
    <mergeCell ref="Q15:Q16"/>
    <mergeCell ref="S15:S16"/>
    <mergeCell ref="O17:O18"/>
    <mergeCell ref="X17:X18"/>
    <mergeCell ref="Y17:Y18"/>
    <mergeCell ref="Z17:Z18"/>
    <mergeCell ref="W17:W18"/>
    <mergeCell ref="A17:A18"/>
    <mergeCell ref="C17:C18"/>
    <mergeCell ref="D17:D18"/>
    <mergeCell ref="E17:E18"/>
    <mergeCell ref="F17:F18"/>
    <mergeCell ref="G17:G18"/>
    <mergeCell ref="U15:U16"/>
    <mergeCell ref="V15:V16"/>
    <mergeCell ref="N19:N20"/>
    <mergeCell ref="O19:O20"/>
    <mergeCell ref="P19:P20"/>
    <mergeCell ref="A19:A20"/>
    <mergeCell ref="C19:C20"/>
    <mergeCell ref="D19:D20"/>
    <mergeCell ref="E19:E20"/>
    <mergeCell ref="F19:F20"/>
    <mergeCell ref="G19:G20"/>
    <mergeCell ref="H19:H20"/>
    <mergeCell ref="P17:P18"/>
    <mergeCell ref="Q17:Q18"/>
    <mergeCell ref="S17:S18"/>
    <mergeCell ref="U17:U18"/>
    <mergeCell ref="V17:V18"/>
    <mergeCell ref="H17:H18"/>
    <mergeCell ref="J17:J18"/>
    <mergeCell ref="L17:L18"/>
    <mergeCell ref="M17:M18"/>
    <mergeCell ref="N17:N18"/>
    <mergeCell ref="M21:M22"/>
    <mergeCell ref="N21:N22"/>
    <mergeCell ref="O21:O22"/>
    <mergeCell ref="P21:P22"/>
    <mergeCell ref="Q21:Q22"/>
    <mergeCell ref="Y19:Y20"/>
    <mergeCell ref="Z19:Z20"/>
    <mergeCell ref="A21:A22"/>
    <mergeCell ref="C21:C22"/>
    <mergeCell ref="D21:D22"/>
    <mergeCell ref="E21:E22"/>
    <mergeCell ref="F21:F22"/>
    <mergeCell ref="G21:G22"/>
    <mergeCell ref="H21:H22"/>
    <mergeCell ref="J21:J22"/>
    <mergeCell ref="Q19:Q20"/>
    <mergeCell ref="S19:S20"/>
    <mergeCell ref="U19:U20"/>
    <mergeCell ref="V19:V20"/>
    <mergeCell ref="W19:W20"/>
    <mergeCell ref="X19:X20"/>
    <mergeCell ref="J19:J20"/>
    <mergeCell ref="L19:L20"/>
    <mergeCell ref="M19:M20"/>
    <mergeCell ref="Z23:Z24"/>
    <mergeCell ref="M23:M24"/>
    <mergeCell ref="N23:N24"/>
    <mergeCell ref="O23:O24"/>
    <mergeCell ref="P23:P24"/>
    <mergeCell ref="Q23:Q24"/>
    <mergeCell ref="S23:S24"/>
    <mergeCell ref="Z21:Z22"/>
    <mergeCell ref="A23:A24"/>
    <mergeCell ref="C23:C24"/>
    <mergeCell ref="D23:D24"/>
    <mergeCell ref="E23:E24"/>
    <mergeCell ref="F23:F24"/>
    <mergeCell ref="G23:G24"/>
    <mergeCell ref="H23:H24"/>
    <mergeCell ref="J23:J24"/>
    <mergeCell ref="L23:L24"/>
    <mergeCell ref="S21:S22"/>
    <mergeCell ref="U21:U22"/>
    <mergeCell ref="V21:V22"/>
    <mergeCell ref="W21:W22"/>
    <mergeCell ref="X21:X22"/>
    <mergeCell ref="Y21:Y22"/>
    <mergeCell ref="L21:L22"/>
    <mergeCell ref="D25:D26"/>
    <mergeCell ref="E25:E26"/>
    <mergeCell ref="F25:F26"/>
    <mergeCell ref="G25:G26"/>
    <mergeCell ref="U23:U24"/>
    <mergeCell ref="V23:V24"/>
    <mergeCell ref="W23:W24"/>
    <mergeCell ref="X23:X24"/>
    <mergeCell ref="Y23:Y24"/>
    <mergeCell ref="X25:X26"/>
    <mergeCell ref="Y25:Y26"/>
    <mergeCell ref="Z25:Z26"/>
    <mergeCell ref="A27:A28"/>
    <mergeCell ref="C27:C28"/>
    <mergeCell ref="D27:D28"/>
    <mergeCell ref="E27:E28"/>
    <mergeCell ref="F27:F28"/>
    <mergeCell ref="G27:G28"/>
    <mergeCell ref="H27:H28"/>
    <mergeCell ref="P25:P26"/>
    <mergeCell ref="Q25:Q26"/>
    <mergeCell ref="S25:S26"/>
    <mergeCell ref="U25:U26"/>
    <mergeCell ref="V25:V26"/>
    <mergeCell ref="W25:W26"/>
    <mergeCell ref="H25:H26"/>
    <mergeCell ref="J25:J26"/>
    <mergeCell ref="L25:L26"/>
    <mergeCell ref="M25:M26"/>
    <mergeCell ref="N25:N26"/>
    <mergeCell ref="O25:O26"/>
    <mergeCell ref="A25:A26"/>
    <mergeCell ref="C25:C26"/>
    <mergeCell ref="Y27:Y28"/>
    <mergeCell ref="Z27:Z28"/>
    <mergeCell ref="A29:A30"/>
    <mergeCell ref="C29:C30"/>
    <mergeCell ref="D29:D30"/>
    <mergeCell ref="E29:E30"/>
    <mergeCell ref="F29:F30"/>
    <mergeCell ref="G29:G30"/>
    <mergeCell ref="H29:H30"/>
    <mergeCell ref="J29:J30"/>
    <mergeCell ref="Q27:Q28"/>
    <mergeCell ref="S27:S28"/>
    <mergeCell ref="U27:U28"/>
    <mergeCell ref="V27:V28"/>
    <mergeCell ref="W27:W28"/>
    <mergeCell ref="X27:X28"/>
    <mergeCell ref="J27:J28"/>
    <mergeCell ref="L27:L28"/>
    <mergeCell ref="M27:M28"/>
    <mergeCell ref="N27:N28"/>
    <mergeCell ref="O27:O28"/>
    <mergeCell ref="P27:P28"/>
    <mergeCell ref="Z29:Z30"/>
    <mergeCell ref="A31:A32"/>
    <mergeCell ref="C31:C32"/>
    <mergeCell ref="D31:D32"/>
    <mergeCell ref="E31:E32"/>
    <mergeCell ref="F31:F32"/>
    <mergeCell ref="G31:G32"/>
    <mergeCell ref="H31:H32"/>
    <mergeCell ref="J31:J32"/>
    <mergeCell ref="L31:L32"/>
    <mergeCell ref="S29:S30"/>
    <mergeCell ref="U29:U30"/>
    <mergeCell ref="V29:V30"/>
    <mergeCell ref="W29:W30"/>
    <mergeCell ref="X29:X30"/>
    <mergeCell ref="Y29:Y30"/>
    <mergeCell ref="L29:L30"/>
    <mergeCell ref="M29:M30"/>
    <mergeCell ref="N29:N30"/>
    <mergeCell ref="O29:O30"/>
    <mergeCell ref="P29:P30"/>
    <mergeCell ref="Q29:Q30"/>
    <mergeCell ref="W31:W32"/>
    <mergeCell ref="X31:X32"/>
    <mergeCell ref="Y31:Y32"/>
    <mergeCell ref="Z31:Z32"/>
    <mergeCell ref="M31:M32"/>
    <mergeCell ref="N31:N32"/>
    <mergeCell ref="O31:O32"/>
    <mergeCell ref="P31:P32"/>
    <mergeCell ref="Q31:Q32"/>
    <mergeCell ref="S31:S32"/>
    <mergeCell ref="O33:O34"/>
    <mergeCell ref="X33:X34"/>
    <mergeCell ref="Y33:Y34"/>
    <mergeCell ref="Z33:Z34"/>
    <mergeCell ref="W33:W34"/>
    <mergeCell ref="A33:A34"/>
    <mergeCell ref="C33:C34"/>
    <mergeCell ref="D33:D34"/>
    <mergeCell ref="E33:E34"/>
    <mergeCell ref="F33:F34"/>
    <mergeCell ref="G33:G34"/>
    <mergeCell ref="U31:U32"/>
    <mergeCell ref="V31:V32"/>
    <mergeCell ref="N35:N36"/>
    <mergeCell ref="O35:O36"/>
    <mergeCell ref="P35:P36"/>
    <mergeCell ref="A35:A36"/>
    <mergeCell ref="C35:C36"/>
    <mergeCell ref="D35:D36"/>
    <mergeCell ref="E35:E36"/>
    <mergeCell ref="F35:F36"/>
    <mergeCell ref="G35:G36"/>
    <mergeCell ref="H35:H36"/>
    <mergeCell ref="P33:P34"/>
    <mergeCell ref="Q33:Q34"/>
    <mergeCell ref="S33:S34"/>
    <mergeCell ref="U33:U34"/>
    <mergeCell ref="V33:V34"/>
    <mergeCell ref="H33:H34"/>
    <mergeCell ref="J33:J34"/>
    <mergeCell ref="L33:L34"/>
    <mergeCell ref="M33:M34"/>
    <mergeCell ref="N33:N34"/>
    <mergeCell ref="M37:M38"/>
    <mergeCell ref="N37:N38"/>
    <mergeCell ref="O37:O38"/>
    <mergeCell ref="P37:P38"/>
    <mergeCell ref="Q37:Q38"/>
    <mergeCell ref="Y35:Y36"/>
    <mergeCell ref="Z35:Z36"/>
    <mergeCell ref="A37:A38"/>
    <mergeCell ref="C37:C38"/>
    <mergeCell ref="D37:D38"/>
    <mergeCell ref="E37:E38"/>
    <mergeCell ref="F37:F38"/>
    <mergeCell ref="G37:G38"/>
    <mergeCell ref="H37:H38"/>
    <mergeCell ref="J37:J38"/>
    <mergeCell ref="Q35:Q36"/>
    <mergeCell ref="S35:S36"/>
    <mergeCell ref="U35:U36"/>
    <mergeCell ref="V35:V36"/>
    <mergeCell ref="W35:W36"/>
    <mergeCell ref="X35:X36"/>
    <mergeCell ref="J35:J36"/>
    <mergeCell ref="L35:L36"/>
    <mergeCell ref="M35:M36"/>
    <mergeCell ref="Z39:Z40"/>
    <mergeCell ref="M39:M40"/>
    <mergeCell ref="N39:N40"/>
    <mergeCell ref="O39:O40"/>
    <mergeCell ref="P39:P40"/>
    <mergeCell ref="Q39:Q40"/>
    <mergeCell ref="S39:S40"/>
    <mergeCell ref="Z37:Z38"/>
    <mergeCell ref="A39:A40"/>
    <mergeCell ref="C39:C40"/>
    <mergeCell ref="D39:D40"/>
    <mergeCell ref="E39:E40"/>
    <mergeCell ref="F39:F40"/>
    <mergeCell ref="G39:G40"/>
    <mergeCell ref="H39:H40"/>
    <mergeCell ref="J39:J40"/>
    <mergeCell ref="L39:L40"/>
    <mergeCell ref="S37:S38"/>
    <mergeCell ref="U37:U38"/>
    <mergeCell ref="V37:V38"/>
    <mergeCell ref="W37:W38"/>
    <mergeCell ref="X37:X38"/>
    <mergeCell ref="Y37:Y38"/>
    <mergeCell ref="L37:L38"/>
    <mergeCell ref="D41:D42"/>
    <mergeCell ref="E41:E42"/>
    <mergeCell ref="F41:F42"/>
    <mergeCell ref="G41:G42"/>
    <mergeCell ref="U39:U40"/>
    <mergeCell ref="V39:V40"/>
    <mergeCell ref="W39:W40"/>
    <mergeCell ref="X39:X40"/>
    <mergeCell ref="Y39:Y40"/>
    <mergeCell ref="X41:X42"/>
    <mergeCell ref="Y41:Y42"/>
    <mergeCell ref="Z41:Z42"/>
    <mergeCell ref="A43:A44"/>
    <mergeCell ref="C43:C44"/>
    <mergeCell ref="D43:D44"/>
    <mergeCell ref="E43:E44"/>
    <mergeCell ref="F43:F44"/>
    <mergeCell ref="G43:G44"/>
    <mergeCell ref="H43:H44"/>
    <mergeCell ref="P41:P42"/>
    <mergeCell ref="Q41:Q42"/>
    <mergeCell ref="S41:S42"/>
    <mergeCell ref="U41:U42"/>
    <mergeCell ref="V41:V42"/>
    <mergeCell ref="W41:W42"/>
    <mergeCell ref="H41:H42"/>
    <mergeCell ref="J41:J42"/>
    <mergeCell ref="L41:L42"/>
    <mergeCell ref="M41:M42"/>
    <mergeCell ref="N41:N42"/>
    <mergeCell ref="O41:O42"/>
    <mergeCell ref="A41:A42"/>
    <mergeCell ref="C41:C42"/>
    <mergeCell ref="Y43:Y44"/>
    <mergeCell ref="Z43:Z44"/>
    <mergeCell ref="A45:A46"/>
    <mergeCell ref="C45:C46"/>
    <mergeCell ref="D45:D46"/>
    <mergeCell ref="E45:E46"/>
    <mergeCell ref="F45:F46"/>
    <mergeCell ref="G45:G46"/>
    <mergeCell ref="H45:H46"/>
    <mergeCell ref="J45:J46"/>
    <mergeCell ref="Q43:Q44"/>
    <mergeCell ref="S43:S44"/>
    <mergeCell ref="U43:U44"/>
    <mergeCell ref="V43:V44"/>
    <mergeCell ref="W43:W44"/>
    <mergeCell ref="X43:X44"/>
    <mergeCell ref="J43:J44"/>
    <mergeCell ref="L43:L44"/>
    <mergeCell ref="M43:M44"/>
    <mergeCell ref="N43:N44"/>
    <mergeCell ref="O43:O44"/>
    <mergeCell ref="P43:P44"/>
    <mergeCell ref="Z45:Z46"/>
    <mergeCell ref="A47:A48"/>
    <mergeCell ref="C47:C48"/>
    <mergeCell ref="D47:D48"/>
    <mergeCell ref="E47:E48"/>
    <mergeCell ref="F47:F48"/>
    <mergeCell ref="G47:G48"/>
    <mergeCell ref="H47:H48"/>
    <mergeCell ref="J47:J48"/>
    <mergeCell ref="L47:L48"/>
    <mergeCell ref="S45:S46"/>
    <mergeCell ref="U45:U46"/>
    <mergeCell ref="V45:V46"/>
    <mergeCell ref="W45:W46"/>
    <mergeCell ref="X45:X46"/>
    <mergeCell ref="Y45:Y46"/>
    <mergeCell ref="L45:L46"/>
    <mergeCell ref="M45:M46"/>
    <mergeCell ref="N45:N46"/>
    <mergeCell ref="O45:O46"/>
    <mergeCell ref="P45:P46"/>
    <mergeCell ref="Q45:Q46"/>
    <mergeCell ref="W47:W48"/>
    <mergeCell ref="X47:X48"/>
    <mergeCell ref="Y47:Y48"/>
    <mergeCell ref="Z47:Z48"/>
    <mergeCell ref="M47:M48"/>
    <mergeCell ref="N47:N48"/>
    <mergeCell ref="O47:O48"/>
    <mergeCell ref="P47:P48"/>
    <mergeCell ref="Q47:Q48"/>
    <mergeCell ref="S47:S48"/>
    <mergeCell ref="O49:O50"/>
    <mergeCell ref="X49:X50"/>
    <mergeCell ref="Y49:Y50"/>
    <mergeCell ref="Z49:Z50"/>
    <mergeCell ref="W49:W50"/>
    <mergeCell ref="A49:A50"/>
    <mergeCell ref="C49:C50"/>
    <mergeCell ref="D49:D50"/>
    <mergeCell ref="E49:E50"/>
    <mergeCell ref="F49:F50"/>
    <mergeCell ref="G49:G50"/>
    <mergeCell ref="U47:U48"/>
    <mergeCell ref="V47:V48"/>
    <mergeCell ref="N51:N52"/>
    <mergeCell ref="O51:O52"/>
    <mergeCell ref="P51:P52"/>
    <mergeCell ref="A51:A52"/>
    <mergeCell ref="C51:C52"/>
    <mergeCell ref="D51:D52"/>
    <mergeCell ref="E51:E52"/>
    <mergeCell ref="F51:F52"/>
    <mergeCell ref="G51:G52"/>
    <mergeCell ref="H51:H52"/>
    <mergeCell ref="P49:P50"/>
    <mergeCell ref="Q49:Q50"/>
    <mergeCell ref="S49:S50"/>
    <mergeCell ref="U49:U50"/>
    <mergeCell ref="V49:V50"/>
    <mergeCell ref="H49:H50"/>
    <mergeCell ref="J49:J50"/>
    <mergeCell ref="L49:L50"/>
    <mergeCell ref="M49:M50"/>
    <mergeCell ref="N49:N50"/>
    <mergeCell ref="M53:M54"/>
    <mergeCell ref="N53:N54"/>
    <mergeCell ref="O53:O54"/>
    <mergeCell ref="P53:P54"/>
    <mergeCell ref="Q53:Q54"/>
    <mergeCell ref="Y51:Y52"/>
    <mergeCell ref="Z51:Z52"/>
    <mergeCell ref="A53:A54"/>
    <mergeCell ref="C53:C54"/>
    <mergeCell ref="D53:D54"/>
    <mergeCell ref="E53:E54"/>
    <mergeCell ref="F53:F54"/>
    <mergeCell ref="G53:G54"/>
    <mergeCell ref="H53:H54"/>
    <mergeCell ref="J53:J54"/>
    <mergeCell ref="Q51:Q52"/>
    <mergeCell ref="S51:S52"/>
    <mergeCell ref="U51:U52"/>
    <mergeCell ref="V51:V52"/>
    <mergeCell ref="W51:W52"/>
    <mergeCell ref="X51:X52"/>
    <mergeCell ref="J51:J52"/>
    <mergeCell ref="L51:L52"/>
    <mergeCell ref="M51:M52"/>
    <mergeCell ref="Z55:Z56"/>
    <mergeCell ref="M55:M56"/>
    <mergeCell ref="N55:N56"/>
    <mergeCell ref="O55:O56"/>
    <mergeCell ref="P55:P56"/>
    <mergeCell ref="Q55:Q56"/>
    <mergeCell ref="S55:S56"/>
    <mergeCell ref="Z53:Z54"/>
    <mergeCell ref="A55:A56"/>
    <mergeCell ref="C55:C56"/>
    <mergeCell ref="D55:D56"/>
    <mergeCell ref="E55:E56"/>
    <mergeCell ref="F55:F56"/>
    <mergeCell ref="G55:G56"/>
    <mergeCell ref="H55:H56"/>
    <mergeCell ref="J55:J56"/>
    <mergeCell ref="L55:L56"/>
    <mergeCell ref="S53:S54"/>
    <mergeCell ref="U53:U54"/>
    <mergeCell ref="V53:V54"/>
    <mergeCell ref="W53:W54"/>
    <mergeCell ref="X53:X54"/>
    <mergeCell ref="Y53:Y54"/>
    <mergeCell ref="L53:L54"/>
    <mergeCell ref="D57:D58"/>
    <mergeCell ref="E57:E58"/>
    <mergeCell ref="F57:F58"/>
    <mergeCell ref="G57:G58"/>
    <mergeCell ref="U55:U56"/>
    <mergeCell ref="V55:V56"/>
    <mergeCell ref="W55:W56"/>
    <mergeCell ref="X55:X56"/>
    <mergeCell ref="Y55:Y56"/>
    <mergeCell ref="X57:X58"/>
    <mergeCell ref="Y57:Y58"/>
    <mergeCell ref="Z57:Z58"/>
    <mergeCell ref="A59:A60"/>
    <mergeCell ref="C59:C60"/>
    <mergeCell ref="D59:D60"/>
    <mergeCell ref="E59:E60"/>
    <mergeCell ref="F59:F60"/>
    <mergeCell ref="G59:G60"/>
    <mergeCell ref="H59:H60"/>
    <mergeCell ref="P57:P58"/>
    <mergeCell ref="Q57:Q58"/>
    <mergeCell ref="S57:S58"/>
    <mergeCell ref="U57:U58"/>
    <mergeCell ref="V57:V58"/>
    <mergeCell ref="W57:W58"/>
    <mergeCell ref="H57:H58"/>
    <mergeCell ref="J57:J58"/>
    <mergeCell ref="L57:L58"/>
    <mergeCell ref="M57:M58"/>
    <mergeCell ref="N57:N58"/>
    <mergeCell ref="O57:O58"/>
    <mergeCell ref="A57:A58"/>
    <mergeCell ref="C57:C58"/>
    <mergeCell ref="Y59:Y60"/>
    <mergeCell ref="Z59:Z60"/>
    <mergeCell ref="A61:A62"/>
    <mergeCell ref="C61:C62"/>
    <mergeCell ref="D61:D62"/>
    <mergeCell ref="E61:E62"/>
    <mergeCell ref="F61:F62"/>
    <mergeCell ref="G61:G62"/>
    <mergeCell ref="H61:H62"/>
    <mergeCell ref="J61:J62"/>
    <mergeCell ref="Q59:Q60"/>
    <mergeCell ref="S59:S60"/>
    <mergeCell ref="U59:U60"/>
    <mergeCell ref="V59:V60"/>
    <mergeCell ref="W59:W60"/>
    <mergeCell ref="X59:X60"/>
    <mergeCell ref="J59:J60"/>
    <mergeCell ref="L59:L60"/>
    <mergeCell ref="M59:M60"/>
    <mergeCell ref="N59:N60"/>
    <mergeCell ref="O59:O60"/>
    <mergeCell ref="P59:P60"/>
    <mergeCell ref="Z61:Z62"/>
    <mergeCell ref="A63:A64"/>
    <mergeCell ref="C63:C64"/>
    <mergeCell ref="D63:D64"/>
    <mergeCell ref="E63:E64"/>
    <mergeCell ref="F63:F64"/>
    <mergeCell ref="G63:G64"/>
    <mergeCell ref="H63:H64"/>
    <mergeCell ref="J63:J64"/>
    <mergeCell ref="L63:L64"/>
    <mergeCell ref="S61:S62"/>
    <mergeCell ref="U61:U62"/>
    <mergeCell ref="V61:V62"/>
    <mergeCell ref="W61:W62"/>
    <mergeCell ref="X61:X62"/>
    <mergeCell ref="Y61:Y62"/>
    <mergeCell ref="L61:L62"/>
    <mergeCell ref="M61:M62"/>
    <mergeCell ref="N61:N62"/>
    <mergeCell ref="O61:O62"/>
    <mergeCell ref="P61:P62"/>
    <mergeCell ref="Q61:Q62"/>
    <mergeCell ref="X63:X64"/>
    <mergeCell ref="Y63:Y64"/>
    <mergeCell ref="Z63:Z64"/>
    <mergeCell ref="M63:M64"/>
    <mergeCell ref="N63:N64"/>
    <mergeCell ref="O63:O64"/>
    <mergeCell ref="P63:P64"/>
    <mergeCell ref="Q63:Q64"/>
    <mergeCell ref="S63:S64"/>
    <mergeCell ref="A65:A66"/>
    <mergeCell ref="C65:C66"/>
    <mergeCell ref="D65:D66"/>
    <mergeCell ref="E65:E66"/>
    <mergeCell ref="F65:F66"/>
    <mergeCell ref="G65:G66"/>
    <mergeCell ref="U63:U64"/>
    <mergeCell ref="V63:V64"/>
    <mergeCell ref="W63:W64"/>
    <mergeCell ref="P65:P66"/>
    <mergeCell ref="Q65:Q66"/>
    <mergeCell ref="H65:H66"/>
    <mergeCell ref="J65:J66"/>
    <mergeCell ref="L65:L66"/>
    <mergeCell ref="M65:M66"/>
    <mergeCell ref="N65:N66"/>
    <mergeCell ref="O65:O6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4AC03-E48D-4241-B7B4-FB917B7FF144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7C888-4BFF-4DBF-A41D-F07519F80FC8}">
  <dimension ref="A1:V70"/>
  <sheetViews>
    <sheetView workbookViewId="0">
      <selection activeCell="U10" sqref="U10"/>
    </sheetView>
  </sheetViews>
  <sheetFormatPr defaultRowHeight="15"/>
  <cols>
    <col min="19" max="19" width="12.140625" customWidth="1"/>
  </cols>
  <sheetData>
    <row r="1" spans="1:22" ht="15.75" thickBot="1">
      <c r="T1" s="37"/>
      <c r="U1" s="250" t="s">
        <v>33</v>
      </c>
      <c r="V1" s="251"/>
    </row>
    <row r="2" spans="1:22" ht="15.75" thickBot="1">
      <c r="A2" s="197" t="s">
        <v>78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25"/>
      <c r="P2" s="197" t="s">
        <v>43</v>
      </c>
      <c r="Q2" s="198"/>
      <c r="R2" s="198"/>
      <c r="S2" s="199"/>
      <c r="T2" s="25"/>
      <c r="U2" s="71" t="s">
        <v>36</v>
      </c>
      <c r="V2" s="70">
        <v>12</v>
      </c>
    </row>
    <row r="3" spans="1:22" ht="15.75" thickBot="1">
      <c r="A3" s="111"/>
      <c r="B3" s="3" t="s">
        <v>17</v>
      </c>
      <c r="C3" s="112" t="s">
        <v>18</v>
      </c>
      <c r="D3" s="60" t="s">
        <v>19</v>
      </c>
      <c r="E3" s="113" t="s">
        <v>30</v>
      </c>
      <c r="F3" s="114" t="s">
        <v>36</v>
      </c>
      <c r="G3" s="114" t="s">
        <v>35</v>
      </c>
      <c r="H3" s="114" t="s">
        <v>23</v>
      </c>
      <c r="I3" s="115" t="s">
        <v>31</v>
      </c>
      <c r="J3" s="114" t="s">
        <v>35</v>
      </c>
      <c r="K3" s="116" t="s">
        <v>23</v>
      </c>
      <c r="L3" s="23" t="s">
        <v>32</v>
      </c>
      <c r="M3" s="23" t="s">
        <v>35</v>
      </c>
      <c r="N3" s="4" t="s">
        <v>23</v>
      </c>
      <c r="O3" s="25"/>
      <c r="P3" s="136"/>
      <c r="Q3" s="137" t="s">
        <v>41</v>
      </c>
      <c r="R3" s="137" t="s">
        <v>39</v>
      </c>
      <c r="S3" s="138" t="s">
        <v>40</v>
      </c>
      <c r="T3" s="25"/>
      <c r="U3" s="72" t="s">
        <v>31</v>
      </c>
      <c r="V3" s="48">
        <v>10</v>
      </c>
    </row>
    <row r="4" spans="1:22" ht="15.75" thickBot="1">
      <c r="A4" s="1" t="s">
        <v>16</v>
      </c>
      <c r="B4" s="29">
        <v>6</v>
      </c>
      <c r="C4" s="42">
        <v>8</v>
      </c>
      <c r="D4" s="58">
        <f>C4-B4</f>
        <v>2</v>
      </c>
      <c r="E4" s="73">
        <v>16</v>
      </c>
      <c r="F4" s="50">
        <v>16</v>
      </c>
      <c r="G4" s="56">
        <f>V2</f>
        <v>12</v>
      </c>
      <c r="H4" s="56">
        <f>PRODUCT(F4:G4)</f>
        <v>192</v>
      </c>
      <c r="I4" s="1">
        <v>0</v>
      </c>
      <c r="J4" s="74">
        <v>0</v>
      </c>
      <c r="K4" s="12">
        <f>PRODUCT(I4:J4)</f>
        <v>0</v>
      </c>
      <c r="L4" s="50">
        <v>0</v>
      </c>
      <c r="M4" s="68">
        <v>0</v>
      </c>
      <c r="N4" s="12">
        <f>PRODUCT(L4:M4)</f>
        <v>0</v>
      </c>
      <c r="O4" s="25"/>
      <c r="P4" s="72" t="s">
        <v>33</v>
      </c>
      <c r="Q4" s="56">
        <f>S13</f>
        <v>2604</v>
      </c>
      <c r="R4" s="90"/>
      <c r="S4" s="101"/>
      <c r="T4" s="25"/>
      <c r="U4" s="46" t="s">
        <v>32</v>
      </c>
      <c r="V4" s="49">
        <v>10</v>
      </c>
    </row>
    <row r="5" spans="1:22">
      <c r="A5" s="35"/>
      <c r="B5" s="36"/>
      <c r="C5" s="43"/>
      <c r="D5" s="59"/>
      <c r="E5" s="77"/>
      <c r="F5" s="38"/>
      <c r="G5" s="38"/>
      <c r="H5" s="57"/>
      <c r="I5" s="35"/>
      <c r="J5" s="78"/>
      <c r="K5" s="79"/>
      <c r="L5" s="38"/>
      <c r="M5" s="78"/>
      <c r="N5" s="79"/>
      <c r="O5" s="25"/>
      <c r="P5" s="72" t="s">
        <v>38</v>
      </c>
      <c r="Q5" s="90"/>
      <c r="R5" s="90"/>
      <c r="S5" s="88">
        <f>'Salaries and Daily Costs'!S26</f>
        <v>1719.45</v>
      </c>
      <c r="T5" s="25"/>
    </row>
    <row r="6" spans="1:22" ht="15.75" thickBot="1">
      <c r="A6" s="1" t="s">
        <v>21</v>
      </c>
      <c r="B6" s="29">
        <v>9</v>
      </c>
      <c r="C6" s="44">
        <v>11</v>
      </c>
      <c r="D6" s="58">
        <f t="shared" ref="D6" si="0">C6-B6</f>
        <v>2</v>
      </c>
      <c r="E6" s="73">
        <v>16</v>
      </c>
      <c r="F6" s="50">
        <v>16</v>
      </c>
      <c r="G6" s="56">
        <f>V2</f>
        <v>12</v>
      </c>
      <c r="H6" s="56">
        <f t="shared" ref="H6" si="1">PRODUCT(F6:G6)</f>
        <v>192</v>
      </c>
      <c r="I6" s="1">
        <v>0</v>
      </c>
      <c r="J6" s="68">
        <v>0</v>
      </c>
      <c r="K6" s="12">
        <f t="shared" ref="K6" si="2">PRODUCT(I6:J6)</f>
        <v>0</v>
      </c>
      <c r="L6" s="50">
        <v>0</v>
      </c>
      <c r="M6" s="68">
        <v>0</v>
      </c>
      <c r="N6" s="12">
        <f t="shared" ref="N6" si="3">PRODUCT(L6:M6)</f>
        <v>0</v>
      </c>
      <c r="O6" s="25"/>
      <c r="P6" s="46"/>
      <c r="Q6" s="102"/>
      <c r="R6" s="102"/>
      <c r="S6" s="103"/>
      <c r="T6" s="25"/>
    </row>
    <row r="7" spans="1:22" ht="15.75" thickBot="1">
      <c r="A7" s="35"/>
      <c r="B7" s="36"/>
      <c r="C7" s="43"/>
      <c r="D7" s="59"/>
      <c r="E7" s="77"/>
      <c r="F7" s="38"/>
      <c r="G7" s="38"/>
      <c r="H7" s="38"/>
      <c r="I7" s="35"/>
      <c r="J7" s="38"/>
      <c r="K7" s="79"/>
      <c r="L7" s="38"/>
      <c r="M7" s="38"/>
      <c r="N7" s="79"/>
      <c r="O7" s="25"/>
      <c r="P7" s="7"/>
      <c r="Q7" s="25"/>
      <c r="R7" s="25"/>
      <c r="S7" s="25"/>
      <c r="T7" s="25"/>
    </row>
    <row r="8" spans="1:22" ht="15.75" thickBot="1">
      <c r="A8" s="1" t="s">
        <v>22</v>
      </c>
      <c r="B8" s="29">
        <v>12</v>
      </c>
      <c r="C8" s="44">
        <v>14</v>
      </c>
      <c r="D8" s="58">
        <f t="shared" ref="D8" si="4">C8-B8</f>
        <v>2</v>
      </c>
      <c r="E8" s="73">
        <v>100</v>
      </c>
      <c r="F8" s="69">
        <v>0</v>
      </c>
      <c r="G8" s="68">
        <v>0</v>
      </c>
      <c r="H8" s="68">
        <v>0</v>
      </c>
      <c r="I8" s="1">
        <v>37</v>
      </c>
      <c r="J8" s="56">
        <f>V3</f>
        <v>10</v>
      </c>
      <c r="K8" s="12">
        <f t="shared" ref="K8" si="5">PRODUCT(I8:J8)</f>
        <v>370</v>
      </c>
      <c r="L8" s="50">
        <v>37</v>
      </c>
      <c r="M8" s="56">
        <f>V4</f>
        <v>10</v>
      </c>
      <c r="N8" s="12">
        <f t="shared" ref="N8" si="6">PRODUCT(L8:M8)</f>
        <v>370</v>
      </c>
      <c r="O8" s="25"/>
      <c r="P8" s="67"/>
      <c r="Q8" s="25"/>
      <c r="R8" s="32" t="s">
        <v>23</v>
      </c>
      <c r="S8" s="76">
        <f>SUM(Q4:Q6)-SUM(R4:R6)-SUM(S4:S6)</f>
        <v>884.55</v>
      </c>
      <c r="T8" s="25"/>
    </row>
    <row r="9" spans="1:22">
      <c r="A9" s="35"/>
      <c r="B9" s="36"/>
      <c r="C9" s="43"/>
      <c r="D9" s="59"/>
      <c r="E9" s="77"/>
      <c r="F9" s="80"/>
      <c r="G9" s="38"/>
      <c r="H9" s="38"/>
      <c r="I9" s="35"/>
      <c r="J9" s="38"/>
      <c r="K9" s="79"/>
      <c r="L9" s="38"/>
      <c r="M9" s="38"/>
      <c r="N9" s="79"/>
      <c r="O9" s="25"/>
      <c r="P9" s="25"/>
      <c r="Q9" s="25"/>
      <c r="R9" s="25"/>
      <c r="S9" s="25"/>
      <c r="T9" s="25"/>
    </row>
    <row r="10" spans="1:22">
      <c r="A10" s="1" t="s">
        <v>22</v>
      </c>
      <c r="B10" s="29">
        <v>15</v>
      </c>
      <c r="C10" s="44">
        <v>17</v>
      </c>
      <c r="D10" s="58">
        <f t="shared" ref="D10" si="7">C10-B10</f>
        <v>2</v>
      </c>
      <c r="E10" s="73">
        <v>100</v>
      </c>
      <c r="F10" s="69">
        <v>0</v>
      </c>
      <c r="G10" s="68">
        <v>0</v>
      </c>
      <c r="H10" s="68">
        <v>0</v>
      </c>
      <c r="I10" s="1">
        <v>37</v>
      </c>
      <c r="J10" s="56">
        <f>V3</f>
        <v>10</v>
      </c>
      <c r="K10" s="12">
        <f t="shared" ref="K10" si="8">PRODUCT(I10:J10)</f>
        <v>370</v>
      </c>
      <c r="L10" s="50">
        <v>37</v>
      </c>
      <c r="M10" s="56">
        <f>V4</f>
        <v>10</v>
      </c>
      <c r="N10" s="12">
        <f t="shared" ref="N10" si="9">PRODUCT(L10:M10)</f>
        <v>370</v>
      </c>
      <c r="O10" s="25"/>
      <c r="P10" s="25"/>
      <c r="Q10" s="25"/>
      <c r="R10" s="25"/>
      <c r="S10" s="25"/>
      <c r="T10" s="25"/>
    </row>
    <row r="11" spans="1:22">
      <c r="A11" s="35"/>
      <c r="B11" s="36"/>
      <c r="C11" s="43"/>
      <c r="D11" s="59"/>
      <c r="E11" s="77"/>
      <c r="F11" s="80"/>
      <c r="G11" s="38"/>
      <c r="H11" s="38"/>
      <c r="I11" s="35"/>
      <c r="J11" s="38"/>
      <c r="K11" s="79"/>
      <c r="L11" s="38"/>
      <c r="M11" s="38"/>
      <c r="N11" s="79"/>
      <c r="O11" s="25"/>
      <c r="P11" s="25"/>
      <c r="Q11" s="25"/>
      <c r="R11" s="25"/>
      <c r="S11" s="25"/>
      <c r="T11" s="25"/>
    </row>
    <row r="12" spans="1:22" ht="15.75" thickBot="1">
      <c r="A12" s="3" t="s">
        <v>22</v>
      </c>
      <c r="B12" s="30">
        <v>18</v>
      </c>
      <c r="C12" s="45">
        <v>20</v>
      </c>
      <c r="D12" s="58">
        <f t="shared" ref="D12" si="10">C12-B12</f>
        <v>2</v>
      </c>
      <c r="E12" s="73">
        <v>100</v>
      </c>
      <c r="F12" s="69">
        <v>0</v>
      </c>
      <c r="G12" s="75">
        <v>0</v>
      </c>
      <c r="H12" s="75">
        <v>0</v>
      </c>
      <c r="I12" s="1">
        <v>37</v>
      </c>
      <c r="J12" s="56">
        <f>V3</f>
        <v>10</v>
      </c>
      <c r="K12" s="12">
        <f t="shared" ref="K12" si="11">PRODUCT(I12:J12)</f>
        <v>370</v>
      </c>
      <c r="L12" s="22">
        <v>37</v>
      </c>
      <c r="M12" s="56">
        <f>V4</f>
        <v>10</v>
      </c>
      <c r="N12" s="12">
        <f t="shared" ref="N12" si="12">PRODUCT(L12:M12)</f>
        <v>370</v>
      </c>
      <c r="O12" s="25"/>
      <c r="P12" s="25"/>
      <c r="Q12" s="128"/>
      <c r="R12" s="128"/>
      <c r="S12" s="128"/>
      <c r="T12" s="25"/>
    </row>
    <row r="13" spans="1:22" ht="15.75" thickBot="1">
      <c r="A13" s="25"/>
      <c r="B13" s="25"/>
      <c r="C13" s="25"/>
      <c r="D13" s="61">
        <f>SUM(D4:D12)</f>
        <v>10</v>
      </c>
      <c r="E13" s="53"/>
      <c r="F13" s="34">
        <f>SUM(F4:F12)</f>
        <v>32</v>
      </c>
      <c r="G13" s="53"/>
      <c r="H13" s="64">
        <f>SUM(H4:H12)</f>
        <v>384</v>
      </c>
      <c r="I13" s="32">
        <f>SUM(I4:I12)</f>
        <v>111</v>
      </c>
      <c r="J13" s="53"/>
      <c r="K13" s="76">
        <f>SUM(K4:K12)</f>
        <v>1110</v>
      </c>
      <c r="L13" s="34">
        <f>SUM(L4:L12)</f>
        <v>111</v>
      </c>
      <c r="M13" s="53"/>
      <c r="N13" s="76">
        <f>SUM(N4:N12)</f>
        <v>1110</v>
      </c>
      <c r="O13" s="25"/>
      <c r="P13" t="s">
        <v>23</v>
      </c>
      <c r="Q13" s="131"/>
      <c r="R13" s="128"/>
      <c r="S13" s="129">
        <f>SUM(H13,K13,N13)</f>
        <v>2604</v>
      </c>
      <c r="T13" s="25"/>
    </row>
    <row r="14" spans="1:22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  <row r="15" spans="1:22" ht="15.75" thickBot="1">
      <c r="T15" s="37"/>
    </row>
    <row r="16" spans="1:22" ht="15.75" thickBot="1">
      <c r="A16" s="197" t="s">
        <v>79</v>
      </c>
      <c r="B16" s="198"/>
      <c r="C16" s="198"/>
      <c r="D16" s="198"/>
      <c r="E16" s="198"/>
      <c r="F16" s="198"/>
      <c r="G16" s="198"/>
      <c r="H16" s="198"/>
      <c r="I16" s="198"/>
      <c r="J16" s="198"/>
      <c r="K16" s="198"/>
      <c r="L16" s="198"/>
      <c r="M16" s="198"/>
      <c r="N16" s="198"/>
      <c r="O16" s="125"/>
      <c r="P16" s="197" t="s">
        <v>44</v>
      </c>
      <c r="Q16" s="198"/>
      <c r="R16" s="198"/>
      <c r="S16" s="199"/>
      <c r="T16" s="25"/>
    </row>
    <row r="17" spans="1:21" ht="15.75" thickBot="1">
      <c r="A17" s="111"/>
      <c r="B17" s="3" t="s">
        <v>17</v>
      </c>
      <c r="C17" s="112" t="s">
        <v>18</v>
      </c>
      <c r="D17" s="60" t="s">
        <v>19</v>
      </c>
      <c r="E17" s="113" t="s">
        <v>30</v>
      </c>
      <c r="F17" s="114" t="s">
        <v>36</v>
      </c>
      <c r="G17" s="114" t="s">
        <v>35</v>
      </c>
      <c r="H17" s="114" t="s">
        <v>23</v>
      </c>
      <c r="I17" s="115" t="s">
        <v>31</v>
      </c>
      <c r="J17" s="114" t="s">
        <v>35</v>
      </c>
      <c r="K17" s="116" t="s">
        <v>23</v>
      </c>
      <c r="L17" s="23" t="s">
        <v>32</v>
      </c>
      <c r="M17" s="23" t="s">
        <v>35</v>
      </c>
      <c r="N17" s="4" t="s">
        <v>23</v>
      </c>
      <c r="O17" s="25"/>
      <c r="P17" s="136"/>
      <c r="Q17" s="137" t="s">
        <v>41</v>
      </c>
      <c r="R17" s="137" t="s">
        <v>39</v>
      </c>
      <c r="S17" s="138" t="s">
        <v>40</v>
      </c>
      <c r="T17" s="25"/>
    </row>
    <row r="18" spans="1:21">
      <c r="A18" s="1" t="s">
        <v>16</v>
      </c>
      <c r="B18" s="29">
        <v>6</v>
      </c>
      <c r="C18" s="42">
        <v>8</v>
      </c>
      <c r="D18" s="58">
        <f>C18-B18</f>
        <v>2</v>
      </c>
      <c r="E18" s="73">
        <v>16</v>
      </c>
      <c r="F18" s="50">
        <v>16</v>
      </c>
      <c r="G18" s="56">
        <f>V2</f>
        <v>12</v>
      </c>
      <c r="H18" s="56">
        <f>PRODUCT(F18:G18)</f>
        <v>192</v>
      </c>
      <c r="I18" s="1">
        <v>0</v>
      </c>
      <c r="J18" s="74">
        <v>0</v>
      </c>
      <c r="K18" s="12">
        <f>PRODUCT(I18:J18)</f>
        <v>0</v>
      </c>
      <c r="L18" s="50">
        <v>0</v>
      </c>
      <c r="M18" s="68">
        <v>0</v>
      </c>
      <c r="N18" s="12">
        <f>PRODUCT(L18:M18)</f>
        <v>0</v>
      </c>
      <c r="O18" s="25"/>
      <c r="P18" s="72" t="s">
        <v>33</v>
      </c>
      <c r="Q18" s="56">
        <f>S27</f>
        <v>1884</v>
      </c>
      <c r="R18" s="90"/>
      <c r="S18" s="101"/>
      <c r="T18" s="25"/>
    </row>
    <row r="19" spans="1:21">
      <c r="A19" s="35"/>
      <c r="B19" s="36"/>
      <c r="C19" s="43"/>
      <c r="D19" s="59"/>
      <c r="E19" s="77"/>
      <c r="F19" s="38"/>
      <c r="G19" s="38"/>
      <c r="H19" s="57"/>
      <c r="I19" s="35"/>
      <c r="J19" s="78"/>
      <c r="K19" s="79"/>
      <c r="L19" s="38"/>
      <c r="M19" s="78"/>
      <c r="N19" s="79"/>
      <c r="O19" s="25"/>
      <c r="P19" s="72" t="s">
        <v>38</v>
      </c>
      <c r="Q19" s="90"/>
      <c r="R19" s="90"/>
      <c r="S19" s="88">
        <f>'Salaries and Daily Costs'!S26</f>
        <v>1719.45</v>
      </c>
      <c r="T19" s="25"/>
    </row>
    <row r="20" spans="1:21" ht="15.75" thickBot="1">
      <c r="A20" s="1" t="s">
        <v>21</v>
      </c>
      <c r="B20" s="29">
        <v>9</v>
      </c>
      <c r="C20" s="44">
        <v>11</v>
      </c>
      <c r="D20" s="58">
        <f t="shared" ref="D20" si="13">C20-B20</f>
        <v>2</v>
      </c>
      <c r="E20" s="73">
        <v>16</v>
      </c>
      <c r="F20" s="50">
        <v>16</v>
      </c>
      <c r="G20" s="56">
        <f>V2</f>
        <v>12</v>
      </c>
      <c r="H20" s="56">
        <f t="shared" ref="H20" si="14">PRODUCT(F20:G20)</f>
        <v>192</v>
      </c>
      <c r="I20" s="1">
        <v>0</v>
      </c>
      <c r="J20" s="68">
        <v>0</v>
      </c>
      <c r="K20" s="12">
        <f t="shared" ref="K20" si="15">PRODUCT(I20:J20)</f>
        <v>0</v>
      </c>
      <c r="L20" s="50">
        <v>0</v>
      </c>
      <c r="M20" s="68">
        <v>0</v>
      </c>
      <c r="N20" s="12">
        <f t="shared" ref="N20" si="16">PRODUCT(L20:M20)</f>
        <v>0</v>
      </c>
      <c r="O20" s="25"/>
      <c r="P20" s="46"/>
      <c r="Q20" s="140"/>
      <c r="R20" s="102"/>
      <c r="S20" s="103"/>
      <c r="T20" s="25"/>
    </row>
    <row r="21" spans="1:21" ht="15.75" thickBot="1">
      <c r="A21" s="35"/>
      <c r="B21" s="36"/>
      <c r="C21" s="43"/>
      <c r="D21" s="59"/>
      <c r="E21" s="77"/>
      <c r="F21" s="38"/>
      <c r="G21" s="38"/>
      <c r="H21" s="38"/>
      <c r="I21" s="35"/>
      <c r="J21" s="38"/>
      <c r="K21" s="79"/>
      <c r="L21" s="38"/>
      <c r="M21" s="38"/>
      <c r="N21" s="79"/>
      <c r="O21" s="25"/>
      <c r="P21" s="7"/>
      <c r="Q21" s="31"/>
      <c r="R21" s="25"/>
      <c r="S21" s="25"/>
      <c r="T21" s="25"/>
    </row>
    <row r="22" spans="1:21" ht="15.75" thickBot="1">
      <c r="A22" s="1" t="s">
        <v>22</v>
      </c>
      <c r="B22" s="29">
        <v>12</v>
      </c>
      <c r="C22" s="44">
        <v>14</v>
      </c>
      <c r="D22" s="58">
        <f t="shared" ref="D22" si="17">C22-B22</f>
        <v>2</v>
      </c>
      <c r="E22" s="73">
        <v>100</v>
      </c>
      <c r="F22" s="69">
        <v>0</v>
      </c>
      <c r="G22" s="68">
        <v>0</v>
      </c>
      <c r="H22" s="68">
        <v>0</v>
      </c>
      <c r="I22" s="1">
        <v>25</v>
      </c>
      <c r="J22" s="56">
        <f>V3</f>
        <v>10</v>
      </c>
      <c r="K22" s="12">
        <f t="shared" ref="K22" si="18">PRODUCT(I22:J22)</f>
        <v>250</v>
      </c>
      <c r="L22" s="50">
        <v>25</v>
      </c>
      <c r="M22" s="56">
        <f>V4</f>
        <v>10</v>
      </c>
      <c r="N22" s="12">
        <f t="shared" ref="N22" si="19">PRODUCT(L22:M22)</f>
        <v>250</v>
      </c>
      <c r="O22" s="25"/>
      <c r="P22" s="67"/>
      <c r="Q22" s="25"/>
      <c r="R22" s="32" t="s">
        <v>23</v>
      </c>
      <c r="S22" s="76">
        <f>SUM(Q18:Q20)-SUM(R18:R20)-SUM(S18:S20)</f>
        <v>164.54999999999995</v>
      </c>
      <c r="T22" s="25"/>
    </row>
    <row r="23" spans="1:21">
      <c r="A23" s="35"/>
      <c r="B23" s="36"/>
      <c r="C23" s="43"/>
      <c r="D23" s="59"/>
      <c r="E23" s="77"/>
      <c r="F23" s="80"/>
      <c r="G23" s="38"/>
      <c r="H23" s="38"/>
      <c r="I23" s="35"/>
      <c r="J23" s="38"/>
      <c r="K23" s="79"/>
      <c r="L23" s="38"/>
      <c r="M23" s="38"/>
      <c r="N23" s="79"/>
      <c r="O23" s="25"/>
      <c r="P23" s="25"/>
      <c r="Q23" s="25"/>
      <c r="R23" s="25"/>
      <c r="S23" s="25"/>
      <c r="T23" s="25"/>
    </row>
    <row r="24" spans="1:21">
      <c r="A24" s="1" t="s">
        <v>22</v>
      </c>
      <c r="B24" s="29">
        <v>15</v>
      </c>
      <c r="C24" s="44">
        <v>17</v>
      </c>
      <c r="D24" s="58">
        <f t="shared" ref="D24" si="20">C24-B24</f>
        <v>2</v>
      </c>
      <c r="E24" s="73">
        <v>100</v>
      </c>
      <c r="F24" s="69">
        <v>0</v>
      </c>
      <c r="G24" s="68">
        <v>0</v>
      </c>
      <c r="H24" s="68">
        <v>0</v>
      </c>
      <c r="I24" s="1">
        <v>25</v>
      </c>
      <c r="J24" s="56">
        <f>V3</f>
        <v>10</v>
      </c>
      <c r="K24" s="12">
        <f t="shared" ref="K24" si="21">PRODUCT(I24:J24)</f>
        <v>250</v>
      </c>
      <c r="L24" s="50">
        <v>25</v>
      </c>
      <c r="M24" s="56">
        <f>V4</f>
        <v>10</v>
      </c>
      <c r="N24" s="12">
        <f t="shared" ref="N24" si="22">PRODUCT(L24:M24)</f>
        <v>250</v>
      </c>
      <c r="O24" s="25"/>
      <c r="P24" s="25"/>
      <c r="Q24" s="25"/>
      <c r="R24" s="25"/>
      <c r="S24" s="25"/>
      <c r="T24" s="25"/>
      <c r="U24" s="97" t="e">
        <f>#REF!*62</f>
        <v>#REF!</v>
      </c>
    </row>
    <row r="25" spans="1:21">
      <c r="A25" s="35"/>
      <c r="B25" s="36"/>
      <c r="C25" s="43"/>
      <c r="D25" s="59"/>
      <c r="E25" s="77"/>
      <c r="F25" s="80"/>
      <c r="G25" s="38"/>
      <c r="H25" s="38"/>
      <c r="I25" s="35"/>
      <c r="J25" s="38"/>
      <c r="K25" s="79"/>
      <c r="L25" s="38"/>
      <c r="M25" s="38"/>
      <c r="N25" s="79"/>
      <c r="O25" s="25"/>
      <c r="P25" s="25"/>
      <c r="Q25" s="25"/>
      <c r="R25" s="25"/>
      <c r="S25" s="25"/>
      <c r="T25" s="25"/>
    </row>
    <row r="26" spans="1:21" ht="15.75" thickBot="1">
      <c r="A26" s="3" t="s">
        <v>22</v>
      </c>
      <c r="B26" s="30">
        <v>18</v>
      </c>
      <c r="C26" s="45">
        <v>20</v>
      </c>
      <c r="D26" s="58">
        <f t="shared" ref="D26" si="23">C26-B26</f>
        <v>2</v>
      </c>
      <c r="E26" s="73">
        <v>100</v>
      </c>
      <c r="F26" s="69">
        <v>0</v>
      </c>
      <c r="G26" s="75">
        <v>0</v>
      </c>
      <c r="H26" s="75">
        <v>0</v>
      </c>
      <c r="I26" s="1">
        <v>25</v>
      </c>
      <c r="J26" s="56">
        <f>V3</f>
        <v>10</v>
      </c>
      <c r="K26" s="12">
        <f t="shared" ref="K26" si="24">PRODUCT(I26:J26)</f>
        <v>250</v>
      </c>
      <c r="L26" s="22">
        <v>25</v>
      </c>
      <c r="M26" s="56">
        <f>V4</f>
        <v>10</v>
      </c>
      <c r="N26" s="12">
        <f t="shared" ref="N26" si="25">PRODUCT(L26:M26)</f>
        <v>250</v>
      </c>
      <c r="O26" s="25"/>
      <c r="P26" s="25"/>
      <c r="Q26" s="128"/>
      <c r="R26" s="128"/>
      <c r="S26" s="128"/>
      <c r="T26" s="25"/>
    </row>
    <row r="27" spans="1:21" ht="15.75" thickBot="1">
      <c r="A27" s="25"/>
      <c r="B27" s="25"/>
      <c r="C27" s="25"/>
      <c r="D27" s="61">
        <f>SUM(D18:D26)</f>
        <v>10</v>
      </c>
      <c r="E27" s="53"/>
      <c r="F27" s="34">
        <f>SUM(F18:F26)</f>
        <v>32</v>
      </c>
      <c r="G27" s="53"/>
      <c r="H27" s="64">
        <f>SUM(H18:H26)</f>
        <v>384</v>
      </c>
      <c r="I27" s="32">
        <f>SUM(I18:I26)</f>
        <v>75</v>
      </c>
      <c r="J27" s="53"/>
      <c r="K27" s="76">
        <f>SUM(K18:K26)</f>
        <v>750</v>
      </c>
      <c r="L27" s="34">
        <f>SUM(L18:L26)</f>
        <v>75</v>
      </c>
      <c r="M27" s="53"/>
      <c r="N27" s="76">
        <f>SUM(N18:N26)</f>
        <v>750</v>
      </c>
      <c r="O27" s="25"/>
      <c r="P27" t="s">
        <v>23</v>
      </c>
      <c r="Q27" s="133"/>
      <c r="R27" s="37"/>
      <c r="S27" s="126">
        <f>SUM(H27,K27,N27)</f>
        <v>1884</v>
      </c>
      <c r="T27" s="25"/>
    </row>
    <row r="28" spans="1:21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</row>
    <row r="29" spans="1:21" ht="15.75" thickBot="1">
      <c r="T29" s="37"/>
    </row>
    <row r="30" spans="1:21" ht="15.75" thickBot="1">
      <c r="A30" s="197" t="s">
        <v>80</v>
      </c>
      <c r="B30" s="198"/>
      <c r="C30" s="198"/>
      <c r="D30" s="198"/>
      <c r="E30" s="198"/>
      <c r="F30" s="198"/>
      <c r="G30" s="198"/>
      <c r="H30" s="198"/>
      <c r="I30" s="198"/>
      <c r="J30" s="198"/>
      <c r="K30" s="198"/>
      <c r="L30" s="198"/>
      <c r="M30" s="198"/>
      <c r="N30" s="198"/>
      <c r="O30" s="125"/>
      <c r="P30" s="197" t="s">
        <v>45</v>
      </c>
      <c r="Q30" s="198"/>
      <c r="R30" s="198"/>
      <c r="S30" s="199"/>
      <c r="T30" s="25"/>
    </row>
    <row r="31" spans="1:21" ht="15.75" thickBot="1">
      <c r="A31" s="111"/>
      <c r="B31" s="3" t="s">
        <v>17</v>
      </c>
      <c r="C31" s="112" t="s">
        <v>18</v>
      </c>
      <c r="D31" s="60" t="s">
        <v>19</v>
      </c>
      <c r="E31" s="113" t="s">
        <v>30</v>
      </c>
      <c r="F31" s="114" t="s">
        <v>36</v>
      </c>
      <c r="G31" s="114" t="s">
        <v>35</v>
      </c>
      <c r="H31" s="114" t="s">
        <v>23</v>
      </c>
      <c r="I31" s="115" t="s">
        <v>31</v>
      </c>
      <c r="J31" s="114" t="s">
        <v>35</v>
      </c>
      <c r="K31" s="116" t="s">
        <v>23</v>
      </c>
      <c r="L31" s="23" t="s">
        <v>32</v>
      </c>
      <c r="M31" s="23" t="s">
        <v>35</v>
      </c>
      <c r="N31" s="4" t="s">
        <v>23</v>
      </c>
      <c r="O31" s="25"/>
      <c r="P31" s="136"/>
      <c r="Q31" s="137" t="s">
        <v>41</v>
      </c>
      <c r="R31" s="137" t="s">
        <v>39</v>
      </c>
      <c r="S31" s="138" t="s">
        <v>40</v>
      </c>
      <c r="T31" s="25"/>
    </row>
    <row r="32" spans="1:21">
      <c r="A32" s="1" t="s">
        <v>16</v>
      </c>
      <c r="B32" s="29">
        <v>6</v>
      </c>
      <c r="C32" s="42">
        <v>8</v>
      </c>
      <c r="D32" s="58">
        <f>C32-B32</f>
        <v>2</v>
      </c>
      <c r="E32" s="73">
        <v>16</v>
      </c>
      <c r="F32" s="50">
        <v>16</v>
      </c>
      <c r="G32" s="56">
        <f>V2</f>
        <v>12</v>
      </c>
      <c r="H32" s="56">
        <f>PRODUCT(F32:G32)</f>
        <v>192</v>
      </c>
      <c r="I32" s="1">
        <v>0</v>
      </c>
      <c r="J32" s="74">
        <v>0</v>
      </c>
      <c r="K32" s="12">
        <f>PRODUCT(I32:J32)</f>
        <v>0</v>
      </c>
      <c r="L32" s="50">
        <v>0</v>
      </c>
      <c r="M32" s="68">
        <v>0</v>
      </c>
      <c r="N32" s="12">
        <f>PRODUCT(L32:M32)</f>
        <v>0</v>
      </c>
      <c r="O32" s="25"/>
      <c r="P32" s="72" t="s">
        <v>33</v>
      </c>
      <c r="Q32" s="56">
        <f>S41</f>
        <v>1104</v>
      </c>
      <c r="R32" s="90"/>
      <c r="S32" s="101"/>
      <c r="T32" s="25"/>
    </row>
    <row r="33" spans="1:20">
      <c r="A33" s="35"/>
      <c r="B33" s="36"/>
      <c r="C33" s="43"/>
      <c r="D33" s="59"/>
      <c r="E33" s="77"/>
      <c r="F33" s="38"/>
      <c r="G33" s="38"/>
      <c r="H33" s="57"/>
      <c r="I33" s="35"/>
      <c r="J33" s="78"/>
      <c r="K33" s="79"/>
      <c r="L33" s="38"/>
      <c r="M33" s="78"/>
      <c r="N33" s="79"/>
      <c r="O33" s="25"/>
      <c r="P33" s="72" t="s">
        <v>38</v>
      </c>
      <c r="Q33" s="90"/>
      <c r="R33" s="90"/>
      <c r="S33" s="88">
        <f>'Salaries and Daily Costs'!S26</f>
        <v>1719.45</v>
      </c>
      <c r="T33" s="25"/>
    </row>
    <row r="34" spans="1:20" ht="15.75" thickBot="1">
      <c r="A34" s="1" t="s">
        <v>21</v>
      </c>
      <c r="B34" s="29">
        <v>9</v>
      </c>
      <c r="C34" s="44">
        <v>11</v>
      </c>
      <c r="D34" s="58">
        <f t="shared" ref="D34" si="26">C34-B34</f>
        <v>2</v>
      </c>
      <c r="E34" s="73">
        <v>16</v>
      </c>
      <c r="F34" s="50">
        <v>16</v>
      </c>
      <c r="G34" s="56">
        <f>V2</f>
        <v>12</v>
      </c>
      <c r="H34" s="56">
        <f t="shared" ref="H34" si="27">PRODUCT(F34:G34)</f>
        <v>192</v>
      </c>
      <c r="I34" s="1">
        <v>0</v>
      </c>
      <c r="J34" s="68">
        <v>0</v>
      </c>
      <c r="K34" s="12">
        <f t="shared" ref="K34" si="28">PRODUCT(I34:J34)</f>
        <v>0</v>
      </c>
      <c r="L34" s="50">
        <v>0</v>
      </c>
      <c r="M34" s="68">
        <v>0</v>
      </c>
      <c r="N34" s="12">
        <f t="shared" ref="N34" si="29">PRODUCT(L34:M34)</f>
        <v>0</v>
      </c>
      <c r="O34" s="25"/>
      <c r="P34" s="46"/>
      <c r="Q34" s="102"/>
      <c r="R34" s="102"/>
      <c r="S34" s="103"/>
      <c r="T34" s="25"/>
    </row>
    <row r="35" spans="1:20" ht="15.75" thickBot="1">
      <c r="A35" s="35"/>
      <c r="B35" s="36"/>
      <c r="C35" s="43"/>
      <c r="D35" s="59"/>
      <c r="E35" s="77"/>
      <c r="F35" s="38"/>
      <c r="G35" s="38"/>
      <c r="H35" s="38"/>
      <c r="I35" s="35"/>
      <c r="J35" s="38"/>
      <c r="K35" s="79"/>
      <c r="L35" s="38"/>
      <c r="M35" s="38"/>
      <c r="N35" s="79"/>
      <c r="O35" s="25"/>
      <c r="P35" s="7"/>
      <c r="Q35" s="25"/>
      <c r="R35" s="25"/>
      <c r="S35" s="25"/>
      <c r="T35" s="25"/>
    </row>
    <row r="36" spans="1:20" ht="15.75" thickBot="1">
      <c r="A36" s="1" t="s">
        <v>22</v>
      </c>
      <c r="B36" s="29">
        <v>12</v>
      </c>
      <c r="C36" s="44">
        <v>14</v>
      </c>
      <c r="D36" s="58">
        <f t="shared" ref="D36" si="30">C36-B36</f>
        <v>2</v>
      </c>
      <c r="E36" s="73">
        <v>100</v>
      </c>
      <c r="F36" s="69">
        <v>0</v>
      </c>
      <c r="G36" s="68">
        <v>0</v>
      </c>
      <c r="H36" s="68">
        <v>0</v>
      </c>
      <c r="I36" s="1">
        <v>12</v>
      </c>
      <c r="J36" s="56">
        <f>V3</f>
        <v>10</v>
      </c>
      <c r="K36" s="12">
        <f t="shared" ref="K36" si="31">PRODUCT(I36:J36)</f>
        <v>120</v>
      </c>
      <c r="L36" s="50">
        <v>12</v>
      </c>
      <c r="M36" s="56">
        <f>V4</f>
        <v>10</v>
      </c>
      <c r="N36" s="12">
        <f t="shared" ref="N36" si="32">PRODUCT(L36:M36)</f>
        <v>120</v>
      </c>
      <c r="O36" s="25"/>
      <c r="P36" s="67"/>
      <c r="Q36" s="25"/>
      <c r="R36" s="32" t="s">
        <v>23</v>
      </c>
      <c r="S36" s="76">
        <f>SUM(Q32:Q34)-SUM(R32:R34)-SUM(S32:S34)</f>
        <v>-615.45000000000005</v>
      </c>
      <c r="T36" s="25"/>
    </row>
    <row r="37" spans="1:20">
      <c r="A37" s="35"/>
      <c r="B37" s="36"/>
      <c r="C37" s="43"/>
      <c r="D37" s="59"/>
      <c r="E37" s="77"/>
      <c r="F37" s="80"/>
      <c r="G37" s="38"/>
      <c r="H37" s="38"/>
      <c r="I37" s="35"/>
      <c r="J37" s="38"/>
      <c r="K37" s="79"/>
      <c r="L37" s="38"/>
      <c r="M37" s="38"/>
      <c r="N37" s="79"/>
      <c r="O37" s="25"/>
      <c r="P37" s="25"/>
      <c r="Q37" s="25"/>
      <c r="R37" s="25"/>
      <c r="S37" s="25"/>
      <c r="T37" s="25"/>
    </row>
    <row r="38" spans="1:20">
      <c r="A38" s="1" t="s">
        <v>22</v>
      </c>
      <c r="B38" s="29">
        <v>15</v>
      </c>
      <c r="C38" s="44">
        <v>17</v>
      </c>
      <c r="D38" s="58">
        <f t="shared" ref="D38" si="33">C38-B38</f>
        <v>2</v>
      </c>
      <c r="E38" s="73">
        <v>100</v>
      </c>
      <c r="F38" s="69">
        <v>0</v>
      </c>
      <c r="G38" s="68">
        <v>0</v>
      </c>
      <c r="H38" s="68">
        <v>0</v>
      </c>
      <c r="I38" s="1">
        <v>12</v>
      </c>
      <c r="J38" s="56">
        <f>V3</f>
        <v>10</v>
      </c>
      <c r="K38" s="12">
        <f t="shared" ref="K38" si="34">PRODUCT(I38:J38)</f>
        <v>120</v>
      </c>
      <c r="L38" s="50">
        <v>12</v>
      </c>
      <c r="M38" s="56">
        <f>V4</f>
        <v>10</v>
      </c>
      <c r="N38" s="12">
        <f t="shared" ref="N38" si="35">PRODUCT(L38:M38)</f>
        <v>120</v>
      </c>
      <c r="O38" s="25"/>
      <c r="P38" s="25"/>
      <c r="Q38" s="25"/>
      <c r="R38" s="25"/>
      <c r="S38" s="25"/>
      <c r="T38" s="25"/>
    </row>
    <row r="39" spans="1:20">
      <c r="A39" s="35"/>
      <c r="B39" s="36"/>
      <c r="C39" s="43"/>
      <c r="D39" s="59"/>
      <c r="E39" s="77"/>
      <c r="F39" s="80"/>
      <c r="G39" s="38"/>
      <c r="H39" s="38"/>
      <c r="I39" s="35"/>
      <c r="J39" s="38"/>
      <c r="K39" s="79"/>
      <c r="L39" s="38"/>
      <c r="M39" s="38"/>
      <c r="N39" s="79"/>
      <c r="O39" s="25"/>
      <c r="P39" s="25"/>
      <c r="Q39" s="25"/>
      <c r="R39" s="25"/>
      <c r="S39" s="25"/>
      <c r="T39" s="25"/>
    </row>
    <row r="40" spans="1:20" ht="15.75" thickBot="1">
      <c r="A40" s="3" t="s">
        <v>22</v>
      </c>
      <c r="B40" s="30">
        <v>18</v>
      </c>
      <c r="C40" s="45">
        <v>20</v>
      </c>
      <c r="D40" s="58">
        <f t="shared" ref="D40" si="36">C40-B40</f>
        <v>2</v>
      </c>
      <c r="E40" s="73">
        <v>100</v>
      </c>
      <c r="F40" s="69">
        <v>0</v>
      </c>
      <c r="G40" s="75">
        <v>0</v>
      </c>
      <c r="H40" s="75">
        <v>0</v>
      </c>
      <c r="I40" s="1">
        <v>12</v>
      </c>
      <c r="J40" s="56">
        <f>V3</f>
        <v>10</v>
      </c>
      <c r="K40" s="12">
        <f t="shared" ref="K40" si="37">PRODUCT(I40:J40)</f>
        <v>120</v>
      </c>
      <c r="L40" s="22">
        <v>12</v>
      </c>
      <c r="M40" s="56">
        <f>V4</f>
        <v>10</v>
      </c>
      <c r="N40" s="12">
        <f t="shared" ref="N40" si="38">PRODUCT(L40:M40)</f>
        <v>120</v>
      </c>
      <c r="O40" s="25"/>
      <c r="P40" s="25"/>
      <c r="Q40" s="37"/>
      <c r="R40" s="37"/>
      <c r="S40" s="37"/>
      <c r="T40" s="25"/>
    </row>
    <row r="41" spans="1:20" ht="15.75" thickBot="1">
      <c r="A41" s="25"/>
      <c r="B41" s="25"/>
      <c r="C41" s="25"/>
      <c r="D41" s="61">
        <f>SUM(D32:D40)</f>
        <v>10</v>
      </c>
      <c r="E41" s="53"/>
      <c r="F41" s="34">
        <f>SUM(F32:F40)</f>
        <v>32</v>
      </c>
      <c r="G41" s="53"/>
      <c r="H41" s="64">
        <f>SUM(H32:H40)</f>
        <v>384</v>
      </c>
      <c r="I41" s="32">
        <f>SUM(I32:I40)</f>
        <v>36</v>
      </c>
      <c r="J41" s="53"/>
      <c r="K41" s="76">
        <f>SUM(K32:K40)</f>
        <v>360</v>
      </c>
      <c r="L41" s="34">
        <f>SUM(L32:L40)</f>
        <v>36</v>
      </c>
      <c r="M41" s="53"/>
      <c r="N41" s="76">
        <f>SUM(N32:N40)</f>
        <v>360</v>
      </c>
      <c r="O41" s="25"/>
      <c r="P41" t="s">
        <v>23</v>
      </c>
      <c r="Q41" s="131"/>
      <c r="R41" s="134"/>
      <c r="S41" s="135">
        <f>SUM(H41,K41,N41)</f>
        <v>1104</v>
      </c>
      <c r="T41" s="25"/>
    </row>
    <row r="42" spans="1:20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</row>
    <row r="43" spans="1:20" ht="15.75" thickBot="1">
      <c r="T43" s="37"/>
    </row>
    <row r="44" spans="1:20" ht="15.75" thickBot="1">
      <c r="A44" s="197" t="s">
        <v>81</v>
      </c>
      <c r="B44" s="198"/>
      <c r="C44" s="198"/>
      <c r="D44" s="198"/>
      <c r="E44" s="198"/>
      <c r="F44" s="198"/>
      <c r="G44" s="198"/>
      <c r="H44" s="198"/>
      <c r="I44" s="198"/>
      <c r="J44" s="198"/>
      <c r="K44" s="198"/>
      <c r="L44" s="198"/>
      <c r="M44" s="198"/>
      <c r="N44" s="198"/>
      <c r="O44" s="125"/>
      <c r="P44" s="197" t="s">
        <v>46</v>
      </c>
      <c r="Q44" s="198"/>
      <c r="R44" s="198"/>
      <c r="S44" s="199"/>
      <c r="T44" s="25"/>
    </row>
    <row r="45" spans="1:20" ht="15.75" thickBot="1">
      <c r="A45" s="111"/>
      <c r="B45" s="3" t="s">
        <v>17</v>
      </c>
      <c r="C45" s="112" t="s">
        <v>18</v>
      </c>
      <c r="D45" s="60" t="s">
        <v>19</v>
      </c>
      <c r="E45" s="113" t="s">
        <v>30</v>
      </c>
      <c r="F45" s="114" t="s">
        <v>36</v>
      </c>
      <c r="G45" s="114" t="s">
        <v>35</v>
      </c>
      <c r="H45" s="114" t="s">
        <v>23</v>
      </c>
      <c r="I45" s="115" t="s">
        <v>31</v>
      </c>
      <c r="J45" s="114" t="s">
        <v>35</v>
      </c>
      <c r="K45" s="116" t="s">
        <v>23</v>
      </c>
      <c r="L45" s="23" t="s">
        <v>32</v>
      </c>
      <c r="M45" s="23" t="s">
        <v>35</v>
      </c>
      <c r="N45" s="4" t="s">
        <v>23</v>
      </c>
      <c r="O45" s="25"/>
      <c r="P45" s="136"/>
      <c r="Q45" s="137" t="s">
        <v>41</v>
      </c>
      <c r="R45" s="137" t="s">
        <v>39</v>
      </c>
      <c r="S45" s="138" t="s">
        <v>40</v>
      </c>
      <c r="T45" s="25"/>
    </row>
    <row r="46" spans="1:20">
      <c r="A46" s="1" t="s">
        <v>16</v>
      </c>
      <c r="B46" s="29">
        <v>6</v>
      </c>
      <c r="C46" s="42">
        <v>8</v>
      </c>
      <c r="D46" s="58">
        <f>C46-B46</f>
        <v>2</v>
      </c>
      <c r="E46" s="73">
        <v>16</v>
      </c>
      <c r="F46" s="50">
        <v>16</v>
      </c>
      <c r="G46" s="56">
        <f>V2</f>
        <v>12</v>
      </c>
      <c r="H46" s="56">
        <f>PRODUCT(F46:G46)</f>
        <v>192</v>
      </c>
      <c r="I46" s="1">
        <v>0</v>
      </c>
      <c r="J46" s="74">
        <v>0</v>
      </c>
      <c r="K46" s="12">
        <f>PRODUCT(I46:J46)</f>
        <v>0</v>
      </c>
      <c r="L46" s="50">
        <v>0</v>
      </c>
      <c r="M46" s="68">
        <v>0</v>
      </c>
      <c r="N46" s="12">
        <f>PRODUCT(L46:M46)</f>
        <v>0</v>
      </c>
      <c r="O46" s="25"/>
      <c r="P46" s="72" t="s">
        <v>33</v>
      </c>
      <c r="Q46" s="56">
        <f>S55</f>
        <v>684</v>
      </c>
      <c r="R46" s="90"/>
      <c r="S46" s="101"/>
      <c r="T46" s="25"/>
    </row>
    <row r="47" spans="1:20">
      <c r="A47" s="35"/>
      <c r="B47" s="36"/>
      <c r="C47" s="43"/>
      <c r="D47" s="59"/>
      <c r="E47" s="77"/>
      <c r="F47" s="38"/>
      <c r="G47" s="38"/>
      <c r="H47" s="57"/>
      <c r="I47" s="35"/>
      <c r="J47" s="78"/>
      <c r="K47" s="79"/>
      <c r="L47" s="38"/>
      <c r="M47" s="78"/>
      <c r="N47" s="79"/>
      <c r="O47" s="25"/>
      <c r="P47" s="72" t="s">
        <v>38</v>
      </c>
      <c r="Q47" s="90"/>
      <c r="R47" s="90"/>
      <c r="S47" s="88">
        <f>'Salaries and Daily Costs'!S26</f>
        <v>1719.45</v>
      </c>
      <c r="T47" s="25"/>
    </row>
    <row r="48" spans="1:20" ht="15.75" thickBot="1">
      <c r="A48" s="1" t="s">
        <v>21</v>
      </c>
      <c r="B48" s="29">
        <v>9</v>
      </c>
      <c r="C48" s="44">
        <v>11</v>
      </c>
      <c r="D48" s="58">
        <f t="shared" ref="D48" si="39">C48-B48</f>
        <v>2</v>
      </c>
      <c r="E48" s="73">
        <v>16</v>
      </c>
      <c r="F48" s="50">
        <v>16</v>
      </c>
      <c r="G48" s="56">
        <f>V2</f>
        <v>12</v>
      </c>
      <c r="H48" s="56">
        <f t="shared" ref="H48" si="40">PRODUCT(F48:G48)</f>
        <v>192</v>
      </c>
      <c r="I48" s="1">
        <v>0</v>
      </c>
      <c r="J48" s="68">
        <v>0</v>
      </c>
      <c r="K48" s="12">
        <f t="shared" ref="K48" si="41">PRODUCT(I48:J48)</f>
        <v>0</v>
      </c>
      <c r="L48" s="50">
        <v>0</v>
      </c>
      <c r="M48" s="68">
        <v>0</v>
      </c>
      <c r="N48" s="12">
        <f t="shared" ref="N48" si="42">PRODUCT(L48:M48)</f>
        <v>0</v>
      </c>
      <c r="O48" s="25"/>
      <c r="P48" s="46"/>
      <c r="Q48" s="102"/>
      <c r="R48" s="102"/>
      <c r="S48" s="103"/>
      <c r="T48" s="25"/>
    </row>
    <row r="49" spans="1:20" ht="15.75" thickBot="1">
      <c r="A49" s="35"/>
      <c r="B49" s="36"/>
      <c r="C49" s="43"/>
      <c r="D49" s="59"/>
      <c r="E49" s="77"/>
      <c r="F49" s="38"/>
      <c r="G49" s="38"/>
      <c r="H49" s="38"/>
      <c r="I49" s="35"/>
      <c r="J49" s="38"/>
      <c r="K49" s="79"/>
      <c r="L49" s="38"/>
      <c r="M49" s="38"/>
      <c r="N49" s="79"/>
      <c r="O49" s="25"/>
      <c r="P49" s="7"/>
      <c r="Q49" s="25"/>
      <c r="R49" s="25"/>
      <c r="S49" s="25"/>
      <c r="T49" s="25"/>
    </row>
    <row r="50" spans="1:20" ht="15.75" thickBot="1">
      <c r="A50" s="1" t="s">
        <v>22</v>
      </c>
      <c r="B50" s="29">
        <v>12</v>
      </c>
      <c r="C50" s="44">
        <v>14</v>
      </c>
      <c r="D50" s="58">
        <f t="shared" ref="D50" si="43">C50-B50</f>
        <v>2</v>
      </c>
      <c r="E50" s="73">
        <v>100</v>
      </c>
      <c r="F50" s="69">
        <v>0</v>
      </c>
      <c r="G50" s="68">
        <v>0</v>
      </c>
      <c r="H50" s="68">
        <v>0</v>
      </c>
      <c r="I50" s="1">
        <v>5</v>
      </c>
      <c r="J50" s="56">
        <f>V3</f>
        <v>10</v>
      </c>
      <c r="K50" s="12">
        <f t="shared" ref="K50" si="44">PRODUCT(I50:J50)</f>
        <v>50</v>
      </c>
      <c r="L50" s="50">
        <v>5</v>
      </c>
      <c r="M50" s="56">
        <f>V4</f>
        <v>10</v>
      </c>
      <c r="N50" s="12">
        <f t="shared" ref="N50" si="45">PRODUCT(L50:M50)</f>
        <v>50</v>
      </c>
      <c r="O50" s="25"/>
      <c r="P50" s="67"/>
      <c r="Q50" s="25"/>
      <c r="R50" s="32" t="s">
        <v>23</v>
      </c>
      <c r="S50" s="76">
        <f>SUM(Q46:Q48)-SUM(R46:R48)-SUM(S46:S48)</f>
        <v>-1035.45</v>
      </c>
      <c r="T50" s="25"/>
    </row>
    <row r="51" spans="1:20">
      <c r="A51" s="35"/>
      <c r="B51" s="36"/>
      <c r="C51" s="43"/>
      <c r="D51" s="59"/>
      <c r="E51" s="77"/>
      <c r="F51" s="80"/>
      <c r="G51" s="38"/>
      <c r="H51" s="38"/>
      <c r="I51" s="35"/>
      <c r="J51" s="38"/>
      <c r="K51" s="79"/>
      <c r="L51" s="38"/>
      <c r="M51" s="38"/>
      <c r="N51" s="79"/>
      <c r="O51" s="25"/>
      <c r="P51" s="25"/>
      <c r="Q51" s="25"/>
      <c r="R51" s="25"/>
      <c r="S51" s="25"/>
      <c r="T51" s="25"/>
    </row>
    <row r="52" spans="1:20">
      <c r="A52" s="1" t="s">
        <v>22</v>
      </c>
      <c r="B52" s="29">
        <v>15</v>
      </c>
      <c r="C52" s="44">
        <v>17</v>
      </c>
      <c r="D52" s="58">
        <f t="shared" ref="D52" si="46">C52-B52</f>
        <v>2</v>
      </c>
      <c r="E52" s="73">
        <v>100</v>
      </c>
      <c r="F52" s="69">
        <v>0</v>
      </c>
      <c r="G52" s="68">
        <v>0</v>
      </c>
      <c r="H52" s="68">
        <v>0</v>
      </c>
      <c r="I52" s="1">
        <v>5</v>
      </c>
      <c r="J52" s="56">
        <f>V3</f>
        <v>10</v>
      </c>
      <c r="K52" s="12">
        <f t="shared" ref="K52" si="47">PRODUCT(I52:J52)</f>
        <v>50</v>
      </c>
      <c r="L52" s="50">
        <v>5</v>
      </c>
      <c r="M52" s="56">
        <f>V4</f>
        <v>10</v>
      </c>
      <c r="N52" s="12">
        <f t="shared" ref="N52" si="48">PRODUCT(L52:M52)</f>
        <v>50</v>
      </c>
      <c r="O52" s="25"/>
      <c r="P52" s="25"/>
      <c r="Q52" s="25"/>
      <c r="R52" s="25"/>
      <c r="S52" s="25"/>
      <c r="T52" s="25"/>
    </row>
    <row r="53" spans="1:20">
      <c r="A53" s="35"/>
      <c r="B53" s="36"/>
      <c r="C53" s="43"/>
      <c r="D53" s="59"/>
      <c r="E53" s="77"/>
      <c r="F53" s="80"/>
      <c r="G53" s="38"/>
      <c r="H53" s="38"/>
      <c r="I53" s="35"/>
      <c r="J53" s="38"/>
      <c r="K53" s="79"/>
      <c r="L53" s="38"/>
      <c r="M53" s="38"/>
      <c r="N53" s="79"/>
      <c r="O53" s="25"/>
      <c r="P53" s="25"/>
      <c r="Q53" s="25"/>
      <c r="R53" s="25"/>
      <c r="S53" s="25"/>
      <c r="T53" s="25"/>
    </row>
    <row r="54" spans="1:20" ht="15.75" thickBot="1">
      <c r="A54" s="3" t="s">
        <v>22</v>
      </c>
      <c r="B54" s="30">
        <v>18</v>
      </c>
      <c r="C54" s="45">
        <v>20</v>
      </c>
      <c r="D54" s="58">
        <f t="shared" ref="D54" si="49">C54-B54</f>
        <v>2</v>
      </c>
      <c r="E54" s="73">
        <v>100</v>
      </c>
      <c r="F54" s="69">
        <v>0</v>
      </c>
      <c r="G54" s="75">
        <v>0</v>
      </c>
      <c r="H54" s="75">
        <v>0</v>
      </c>
      <c r="I54" s="1">
        <v>5</v>
      </c>
      <c r="J54" s="56">
        <f>V3</f>
        <v>10</v>
      </c>
      <c r="K54" s="12">
        <f t="shared" ref="K54" si="50">PRODUCT(I54:J54)</f>
        <v>50</v>
      </c>
      <c r="L54" s="22">
        <v>5</v>
      </c>
      <c r="M54" s="56">
        <f>V4</f>
        <v>10</v>
      </c>
      <c r="N54" s="12">
        <f t="shared" ref="N54" si="51">PRODUCT(L54:M54)</f>
        <v>50</v>
      </c>
      <c r="O54" s="25"/>
      <c r="P54" s="127"/>
      <c r="Q54" s="128"/>
      <c r="R54" s="128"/>
      <c r="S54" s="128"/>
      <c r="T54" s="25"/>
    </row>
    <row r="55" spans="1:20" ht="15.75" thickBot="1">
      <c r="A55" s="25"/>
      <c r="B55" s="25"/>
      <c r="C55" s="25"/>
      <c r="D55" s="61">
        <f>SUM(D46:D54)</f>
        <v>10</v>
      </c>
      <c r="E55" s="53"/>
      <c r="F55" s="34">
        <f>SUM(F46:F54)</f>
        <v>32</v>
      </c>
      <c r="G55" s="53"/>
      <c r="H55" s="64">
        <f>SUM(H46:H54)</f>
        <v>384</v>
      </c>
      <c r="I55" s="32">
        <f>SUM(I46:I54)</f>
        <v>15</v>
      </c>
      <c r="J55" s="53"/>
      <c r="K55" s="76">
        <f>SUM(K46:K54)</f>
        <v>150</v>
      </c>
      <c r="L55" s="34">
        <f>SUM(L46:L54)</f>
        <v>15</v>
      </c>
      <c r="M55" s="53"/>
      <c r="N55" s="76">
        <f>SUM(N46:N54)</f>
        <v>150</v>
      </c>
      <c r="O55" s="25"/>
      <c r="P55" t="s">
        <v>23</v>
      </c>
      <c r="Q55" s="139"/>
      <c r="R55" s="37"/>
      <c r="S55" s="47">
        <f>SUM(H55,K55,N55)</f>
        <v>684</v>
      </c>
      <c r="T55" s="25"/>
    </row>
    <row r="56" spans="1:20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</row>
    <row r="57" spans="1:20" ht="15.75" thickBot="1">
      <c r="T57" s="37"/>
    </row>
    <row r="58" spans="1:20" ht="15.75" thickBot="1">
      <c r="A58" s="197" t="s">
        <v>82</v>
      </c>
      <c r="B58" s="198"/>
      <c r="C58" s="198"/>
      <c r="D58" s="198"/>
      <c r="E58" s="198"/>
      <c r="F58" s="198"/>
      <c r="G58" s="198"/>
      <c r="H58" s="198"/>
      <c r="I58" s="198"/>
      <c r="J58" s="198"/>
      <c r="K58" s="198"/>
      <c r="L58" s="198"/>
      <c r="M58" s="198"/>
      <c r="N58" s="198"/>
      <c r="O58" s="125"/>
      <c r="P58" s="197" t="s">
        <v>47</v>
      </c>
      <c r="Q58" s="198"/>
      <c r="R58" s="198"/>
      <c r="S58" s="199"/>
      <c r="T58" s="25"/>
    </row>
    <row r="59" spans="1:20" ht="15.75" thickBot="1">
      <c r="A59" s="111"/>
      <c r="B59" s="3" t="s">
        <v>17</v>
      </c>
      <c r="C59" s="112" t="s">
        <v>18</v>
      </c>
      <c r="D59" s="60" t="s">
        <v>19</v>
      </c>
      <c r="E59" s="113" t="s">
        <v>30</v>
      </c>
      <c r="F59" s="114" t="s">
        <v>36</v>
      </c>
      <c r="G59" s="114" t="s">
        <v>35</v>
      </c>
      <c r="H59" s="114" t="s">
        <v>23</v>
      </c>
      <c r="I59" s="115" t="s">
        <v>31</v>
      </c>
      <c r="J59" s="114" t="s">
        <v>35</v>
      </c>
      <c r="K59" s="116" t="s">
        <v>23</v>
      </c>
      <c r="L59" s="23" t="s">
        <v>32</v>
      </c>
      <c r="M59" s="23" t="s">
        <v>35</v>
      </c>
      <c r="N59" s="4" t="s">
        <v>23</v>
      </c>
      <c r="O59" s="25"/>
      <c r="P59" s="136"/>
      <c r="Q59" s="137" t="s">
        <v>41</v>
      </c>
      <c r="R59" s="137" t="s">
        <v>39</v>
      </c>
      <c r="S59" s="138" t="s">
        <v>40</v>
      </c>
      <c r="T59" s="25"/>
    </row>
    <row r="60" spans="1:20">
      <c r="A60" s="1" t="s">
        <v>16</v>
      </c>
      <c r="B60" s="29">
        <v>6</v>
      </c>
      <c r="C60" s="42">
        <v>8</v>
      </c>
      <c r="D60" s="58">
        <f>C60-B60</f>
        <v>2</v>
      </c>
      <c r="E60" s="73">
        <v>16</v>
      </c>
      <c r="F60" s="50">
        <v>16</v>
      </c>
      <c r="G60" s="56">
        <f>V2</f>
        <v>12</v>
      </c>
      <c r="H60" s="56">
        <f>PRODUCT(F60:G60)</f>
        <v>192</v>
      </c>
      <c r="I60" s="1">
        <v>0</v>
      </c>
      <c r="J60" s="74">
        <v>0</v>
      </c>
      <c r="K60" s="12">
        <f>PRODUCT(I60:J60)</f>
        <v>0</v>
      </c>
      <c r="L60" s="50">
        <v>0</v>
      </c>
      <c r="M60" s="68">
        <v>0</v>
      </c>
      <c r="N60" s="12">
        <f>PRODUCT(L60:M60)</f>
        <v>0</v>
      </c>
      <c r="O60" s="25"/>
      <c r="P60" s="72" t="s">
        <v>33</v>
      </c>
      <c r="Q60" s="56">
        <f>Q69</f>
        <v>384</v>
      </c>
      <c r="R60" s="90"/>
      <c r="S60" s="101"/>
      <c r="T60" s="25"/>
    </row>
    <row r="61" spans="1:20">
      <c r="A61" s="35"/>
      <c r="B61" s="36"/>
      <c r="C61" s="43"/>
      <c r="D61" s="59"/>
      <c r="E61" s="77"/>
      <c r="F61" s="38"/>
      <c r="G61" s="38"/>
      <c r="H61" s="57"/>
      <c r="I61" s="35"/>
      <c r="J61" s="78"/>
      <c r="K61" s="79"/>
      <c r="L61" s="38"/>
      <c r="M61" s="78"/>
      <c r="N61" s="79"/>
      <c r="O61" s="25"/>
      <c r="P61" s="72" t="s">
        <v>38</v>
      </c>
      <c r="Q61" s="90"/>
      <c r="R61" s="90"/>
      <c r="S61" s="88">
        <f>SUM('Salaries and Daily Costs'!G20,'Salaries and Daily Costs'!J20,'Salaries and Daily Costs'!M20,'Salaries and Daily Costs'!P20, 46.94)</f>
        <v>493.79</v>
      </c>
      <c r="T61" s="25"/>
    </row>
    <row r="62" spans="1:20" ht="15.75" thickBot="1">
      <c r="A62" s="1" t="s">
        <v>21</v>
      </c>
      <c r="B62" s="29">
        <v>9</v>
      </c>
      <c r="C62" s="44">
        <v>11</v>
      </c>
      <c r="D62" s="58">
        <f t="shared" ref="D62" si="52">C62-B62</f>
        <v>2</v>
      </c>
      <c r="E62" s="73">
        <v>16</v>
      </c>
      <c r="F62" s="50">
        <v>16</v>
      </c>
      <c r="G62" s="56">
        <f>V2</f>
        <v>12</v>
      </c>
      <c r="H62" s="56">
        <f t="shared" ref="H62" si="53">PRODUCT(F62:G62)</f>
        <v>192</v>
      </c>
      <c r="I62" s="1">
        <v>0</v>
      </c>
      <c r="J62" s="68">
        <v>0</v>
      </c>
      <c r="K62" s="12">
        <f t="shared" ref="K62" si="54">PRODUCT(I62:J62)</f>
        <v>0</v>
      </c>
      <c r="L62" s="50">
        <v>0</v>
      </c>
      <c r="M62" s="68">
        <v>0</v>
      </c>
      <c r="N62" s="12">
        <f t="shared" ref="N62" si="55">PRODUCT(L62:M62)</f>
        <v>0</v>
      </c>
      <c r="O62" s="25"/>
      <c r="P62" s="46"/>
      <c r="Q62" s="102"/>
      <c r="R62" s="102"/>
      <c r="S62" s="103"/>
      <c r="T62" s="25"/>
    </row>
    <row r="63" spans="1:20" ht="15.75" thickBot="1">
      <c r="A63" s="35"/>
      <c r="B63" s="36"/>
      <c r="C63" s="43"/>
      <c r="D63" s="59"/>
      <c r="E63" s="77"/>
      <c r="F63" s="38"/>
      <c r="G63" s="38"/>
      <c r="H63" s="38"/>
      <c r="I63" s="35"/>
      <c r="J63" s="38"/>
      <c r="K63" s="79"/>
      <c r="L63" s="38"/>
      <c r="M63" s="38"/>
      <c r="N63" s="79"/>
      <c r="O63" s="25"/>
      <c r="P63" s="7"/>
      <c r="Q63" s="25"/>
      <c r="R63" s="25"/>
      <c r="S63" s="25"/>
      <c r="T63" s="25"/>
    </row>
    <row r="64" spans="1:20" ht="15.75" thickBot="1">
      <c r="A64" s="1" t="s">
        <v>22</v>
      </c>
      <c r="B64" s="29">
        <v>12</v>
      </c>
      <c r="C64" s="44">
        <v>14</v>
      </c>
      <c r="D64" s="58">
        <f t="shared" ref="D64" si="56">C64-B64</f>
        <v>2</v>
      </c>
      <c r="E64" s="73">
        <v>100</v>
      </c>
      <c r="F64" s="69">
        <v>0</v>
      </c>
      <c r="G64" s="68">
        <v>0</v>
      </c>
      <c r="H64" s="68">
        <v>0</v>
      </c>
      <c r="I64" s="1">
        <v>0</v>
      </c>
      <c r="J64" s="56">
        <f>V3</f>
        <v>10</v>
      </c>
      <c r="K64" s="12">
        <f t="shared" ref="K64" si="57">PRODUCT(I64:J64)</f>
        <v>0</v>
      </c>
      <c r="L64" s="50">
        <v>0</v>
      </c>
      <c r="M64" s="56">
        <f>V4</f>
        <v>10</v>
      </c>
      <c r="N64" s="12">
        <f t="shared" ref="N64" si="58">PRODUCT(L64:M64)</f>
        <v>0</v>
      </c>
      <c r="O64" s="25"/>
      <c r="P64" s="67"/>
      <c r="Q64" s="25"/>
      <c r="R64" s="32" t="s">
        <v>23</v>
      </c>
      <c r="S64" s="76">
        <f>SUM(Q60:Q62)-SUM(R60:R62)-SUM(S60:S62)</f>
        <v>-109.79000000000002</v>
      </c>
      <c r="T64" s="25"/>
    </row>
    <row r="65" spans="1:20">
      <c r="A65" s="35"/>
      <c r="B65" s="36"/>
      <c r="C65" s="43"/>
      <c r="D65" s="59"/>
      <c r="E65" s="77"/>
      <c r="F65" s="80"/>
      <c r="G65" s="38"/>
      <c r="H65" s="38"/>
      <c r="I65" s="35"/>
      <c r="J65" s="38"/>
      <c r="K65" s="79"/>
      <c r="L65" s="38"/>
      <c r="M65" s="38"/>
      <c r="N65" s="79"/>
      <c r="O65" s="25"/>
      <c r="P65" s="25"/>
      <c r="Q65" s="25"/>
      <c r="R65" s="25"/>
      <c r="S65" s="25"/>
      <c r="T65" s="25"/>
    </row>
    <row r="66" spans="1:20">
      <c r="A66" s="1" t="s">
        <v>22</v>
      </c>
      <c r="B66" s="29">
        <v>15</v>
      </c>
      <c r="C66" s="44">
        <v>17</v>
      </c>
      <c r="D66" s="58">
        <f t="shared" ref="D66" si="59">C66-B66</f>
        <v>2</v>
      </c>
      <c r="E66" s="73">
        <v>100</v>
      </c>
      <c r="F66" s="69">
        <v>0</v>
      </c>
      <c r="G66" s="68">
        <v>0</v>
      </c>
      <c r="H66" s="68">
        <v>0</v>
      </c>
      <c r="I66" s="1">
        <v>0</v>
      </c>
      <c r="J66" s="56">
        <f>V3</f>
        <v>10</v>
      </c>
      <c r="K66" s="12">
        <f t="shared" ref="K66" si="60">PRODUCT(I66:J66)</f>
        <v>0</v>
      </c>
      <c r="L66" s="50">
        <v>0</v>
      </c>
      <c r="M66" s="56">
        <f>V4</f>
        <v>10</v>
      </c>
      <c r="N66" s="12">
        <f t="shared" ref="N66" si="61">PRODUCT(L66:M66)</f>
        <v>0</v>
      </c>
      <c r="O66" s="25"/>
      <c r="P66" s="25"/>
      <c r="Q66" s="25"/>
      <c r="R66" s="25"/>
      <c r="S66" s="25"/>
      <c r="T66" s="25"/>
    </row>
    <row r="67" spans="1:20">
      <c r="A67" s="35"/>
      <c r="B67" s="36"/>
      <c r="C67" s="43"/>
      <c r="D67" s="59"/>
      <c r="E67" s="77"/>
      <c r="F67" s="80"/>
      <c r="G67" s="38"/>
      <c r="H67" s="38"/>
      <c r="I67" s="35"/>
      <c r="J67" s="38"/>
      <c r="K67" s="79"/>
      <c r="L67" s="38"/>
      <c r="M67" s="38"/>
      <c r="N67" s="79"/>
      <c r="O67" s="25"/>
      <c r="P67" s="25"/>
      <c r="Q67" s="25"/>
      <c r="R67" s="25"/>
      <c r="S67" s="25"/>
      <c r="T67" s="25"/>
    </row>
    <row r="68" spans="1:20" ht="15.75" thickBot="1">
      <c r="A68" s="3" t="s">
        <v>22</v>
      </c>
      <c r="B68" s="30">
        <v>18</v>
      </c>
      <c r="C68" s="45">
        <v>20</v>
      </c>
      <c r="D68" s="58">
        <f t="shared" ref="D68" si="62">C68-B68</f>
        <v>2</v>
      </c>
      <c r="E68" s="73">
        <v>100</v>
      </c>
      <c r="F68" s="69">
        <v>0</v>
      </c>
      <c r="G68" s="75">
        <v>0</v>
      </c>
      <c r="H68" s="75">
        <v>0</v>
      </c>
      <c r="I68" s="1">
        <v>0</v>
      </c>
      <c r="J68" s="56">
        <f>V3</f>
        <v>10</v>
      </c>
      <c r="K68" s="12">
        <f t="shared" ref="K68" si="63">PRODUCT(I68:J68)</f>
        <v>0</v>
      </c>
      <c r="L68" s="22">
        <v>0</v>
      </c>
      <c r="M68" s="56">
        <f>V4</f>
        <v>10</v>
      </c>
      <c r="N68" s="12">
        <f t="shared" ref="N68" si="64">PRODUCT(L68:M68)</f>
        <v>0</v>
      </c>
      <c r="O68" s="25"/>
      <c r="P68" s="25"/>
      <c r="Q68" s="25"/>
      <c r="R68" s="25"/>
      <c r="S68" s="25"/>
      <c r="T68" s="25"/>
    </row>
    <row r="69" spans="1:20" ht="15.75" thickBot="1">
      <c r="A69" s="25"/>
      <c r="B69" s="25"/>
      <c r="C69" s="25"/>
      <c r="D69" s="61">
        <f>SUM(D60:D68)</f>
        <v>10</v>
      </c>
      <c r="E69" s="53"/>
      <c r="F69" s="34">
        <f>SUM(F60:F68)</f>
        <v>32</v>
      </c>
      <c r="G69" s="53"/>
      <c r="H69" s="64">
        <f>SUM(H60:H68)</f>
        <v>384</v>
      </c>
      <c r="I69" s="32">
        <f>SUM(I60:I68)</f>
        <v>0</v>
      </c>
      <c r="J69" s="53"/>
      <c r="K69" s="76">
        <f>SUM(K60:K68)</f>
        <v>0</v>
      </c>
      <c r="L69" s="34">
        <f>SUM(L60:L68)</f>
        <v>0</v>
      </c>
      <c r="M69" s="53"/>
      <c r="N69" s="76">
        <f>SUM(N60:N68)</f>
        <v>0</v>
      </c>
      <c r="O69" s="25"/>
      <c r="P69" t="s">
        <v>23</v>
      </c>
      <c r="Q69" s="47">
        <f>SUM(H69,K69,N69)</f>
        <v>384</v>
      </c>
      <c r="R69" s="25"/>
      <c r="S69" s="25"/>
      <c r="T69" s="25"/>
    </row>
    <row r="70" spans="1:20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</row>
  </sheetData>
  <mergeCells count="11">
    <mergeCell ref="A44:N44"/>
    <mergeCell ref="P44:S44"/>
    <mergeCell ref="A58:N58"/>
    <mergeCell ref="P58:S58"/>
    <mergeCell ref="U1:V1"/>
    <mergeCell ref="A2:N2"/>
    <mergeCell ref="P2:S2"/>
    <mergeCell ref="A16:N16"/>
    <mergeCell ref="P16:S16"/>
    <mergeCell ref="A30:N30"/>
    <mergeCell ref="P30:S30"/>
  </mergeCells>
  <conditionalFormatting sqref="S64">
    <cfRule type="cellIs" dxfId="9" priority="1" operator="lessThan">
      <formula>0</formula>
    </cfRule>
    <cfRule type="cellIs" dxfId="8" priority="2" operator="greaterThan">
      <formula>0</formula>
    </cfRule>
  </conditionalFormatting>
  <conditionalFormatting sqref="S8">
    <cfRule type="cellIs" dxfId="7" priority="9" operator="lessThan">
      <formula>0</formula>
    </cfRule>
    <cfRule type="cellIs" dxfId="6" priority="10" operator="greaterThan">
      <formula>0</formula>
    </cfRule>
  </conditionalFormatting>
  <conditionalFormatting sqref="S22">
    <cfRule type="cellIs" dxfId="5" priority="7" operator="lessThan">
      <formula>0</formula>
    </cfRule>
    <cfRule type="cellIs" dxfId="4" priority="8" operator="greaterThan">
      <formula>0</formula>
    </cfRule>
  </conditionalFormatting>
  <conditionalFormatting sqref="S36">
    <cfRule type="cellIs" dxfId="3" priority="5" operator="lessThan">
      <formula>0</formula>
    </cfRule>
    <cfRule type="cellIs" dxfId="2" priority="6" operator="greaterThan">
      <formula>0</formula>
    </cfRule>
  </conditionalFormatting>
  <conditionalFormatting sqref="S50">
    <cfRule type="cellIs" dxfId="1" priority="3" operator="lessThan">
      <formula>0</formula>
    </cfRule>
    <cfRule type="cellIs" dxfId="0" priority="4" operator="greaterThan">
      <formula>0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1413BFB61A6546BCEA4BC9E04267C9" ma:contentTypeVersion="10" ma:contentTypeDescription="Create a new document." ma:contentTypeScope="" ma:versionID="6200ec05d8763452b03da25e15f490a0">
  <xsd:schema xmlns:xsd="http://www.w3.org/2001/XMLSchema" xmlns:xs="http://www.w3.org/2001/XMLSchema" xmlns:p="http://schemas.microsoft.com/office/2006/metadata/properties" xmlns:ns3="c7e48307-f90d-40be-b16d-29ea0f1044da" targetNamespace="http://schemas.microsoft.com/office/2006/metadata/properties" ma:root="true" ma:fieldsID="be0323c73daafcaa5d992055b71846cd" ns3:_="">
    <xsd:import namespace="c7e48307-f90d-40be-b16d-29ea0f1044d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e48307-f90d-40be-b16d-29ea0f1044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C130CC4-6D28-417A-94C0-F96E503DF5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e48307-f90d-40be-b16d-29ea0f1044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3AD883C-2D8C-4CC5-BE1C-AA754B396B3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A51C89-97BE-4F29-8D6B-582F22BBC5FA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c7e48307-f90d-40be-b16d-29ea0f1044da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Main</vt:lpstr>
      <vt:lpstr>Monthly outlook</vt:lpstr>
      <vt:lpstr>Daily Income-Daily Pass</vt:lpstr>
      <vt:lpstr>Salaries and Daily Costs</vt:lpstr>
      <vt:lpstr>Preseason setup expenses</vt:lpstr>
      <vt:lpstr>2019 Weather</vt:lpstr>
      <vt:lpstr>Open Operating Expenses</vt:lpstr>
      <vt:lpstr>Etc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 Feuss</dc:creator>
  <cp:lastModifiedBy>Christopher O'Reilly</cp:lastModifiedBy>
  <cp:lastPrinted>2020-05-28T15:36:32Z</cp:lastPrinted>
  <dcterms:created xsi:type="dcterms:W3CDTF">2020-05-28T14:40:08Z</dcterms:created>
  <dcterms:modified xsi:type="dcterms:W3CDTF">2020-06-10T20:05:27Z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0x0101003F1413BFB61A6546BCEA4BC9E04267C9</vt:lpwstr>
  </property>
</Properties>
</file>