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8_{9AA00D9C-1457-4957-96CF-6849448B9A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fit and Loss (2)" sheetId="2" r:id="rId1"/>
    <sheet name="Profit and Loss" sheetId="1" r:id="rId2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2" l="1"/>
  <c r="I31" i="2"/>
  <c r="I30" i="2"/>
  <c r="F31" i="2"/>
  <c r="F30" i="2"/>
  <c r="I33" i="2"/>
  <c r="I34" i="2"/>
  <c r="F34" i="2"/>
  <c r="G37" i="2"/>
  <c r="M23" i="2"/>
  <c r="L23" i="2"/>
  <c r="K23" i="2"/>
  <c r="J23" i="2"/>
  <c r="I23" i="2"/>
  <c r="H23" i="2"/>
  <c r="G23" i="2"/>
  <c r="F23" i="2"/>
  <c r="E23" i="2"/>
  <c r="D23" i="2"/>
  <c r="C23" i="2"/>
  <c r="B23" i="2"/>
  <c r="N23" i="2"/>
  <c r="M22" i="2"/>
  <c r="L22" i="2"/>
  <c r="K22" i="2"/>
  <c r="J22" i="2"/>
  <c r="I22" i="2"/>
  <c r="H22" i="2"/>
  <c r="G22" i="2"/>
  <c r="F22" i="2"/>
  <c r="E22" i="2"/>
  <c r="D22" i="2"/>
  <c r="C22" i="2"/>
  <c r="B22" i="2"/>
  <c r="N22" i="2"/>
  <c r="M21" i="2"/>
  <c r="L21" i="2"/>
  <c r="K21" i="2"/>
  <c r="J21" i="2"/>
  <c r="I21" i="2"/>
  <c r="H21" i="2"/>
  <c r="G21" i="2"/>
  <c r="F21" i="2"/>
  <c r="E21" i="2"/>
  <c r="D21" i="2"/>
  <c r="C21" i="2"/>
  <c r="B21" i="2"/>
  <c r="N21" i="2"/>
  <c r="M20" i="2"/>
  <c r="L20" i="2"/>
  <c r="K20" i="2"/>
  <c r="J20" i="2"/>
  <c r="I20" i="2"/>
  <c r="H20" i="2"/>
  <c r="G20" i="2"/>
  <c r="F20" i="2"/>
  <c r="E20" i="2"/>
  <c r="D20" i="2"/>
  <c r="C20" i="2"/>
  <c r="B20" i="2"/>
  <c r="N20" i="2"/>
  <c r="M19" i="2"/>
  <c r="L19" i="2"/>
  <c r="K19" i="2"/>
  <c r="J19" i="2"/>
  <c r="I19" i="2"/>
  <c r="H19" i="2"/>
  <c r="G19" i="2"/>
  <c r="F19" i="2"/>
  <c r="E19" i="2"/>
  <c r="D19" i="2"/>
  <c r="C19" i="2"/>
  <c r="B19" i="2"/>
  <c r="N18" i="2"/>
  <c r="M14" i="2"/>
  <c r="L14" i="2"/>
  <c r="K14" i="2"/>
  <c r="I14" i="2"/>
  <c r="H14" i="2"/>
  <c r="G14" i="2"/>
  <c r="F14" i="2"/>
  <c r="D14" i="2"/>
  <c r="C14" i="2"/>
  <c r="B14" i="2"/>
  <c r="N14" i="2"/>
  <c r="M13" i="2"/>
  <c r="L13" i="2"/>
  <c r="K13" i="2"/>
  <c r="J13" i="2"/>
  <c r="I13" i="2"/>
  <c r="H13" i="2"/>
  <c r="G13" i="2"/>
  <c r="F13" i="2"/>
  <c r="E13" i="2"/>
  <c r="D13" i="2"/>
  <c r="C13" i="2"/>
  <c r="B13" i="2"/>
  <c r="N13" i="2"/>
  <c r="M12" i="2"/>
  <c r="L12" i="2"/>
  <c r="K12" i="2"/>
  <c r="J12" i="2"/>
  <c r="I12" i="2"/>
  <c r="H12" i="2"/>
  <c r="G12" i="2"/>
  <c r="F12" i="2"/>
  <c r="E12" i="2"/>
  <c r="D12" i="2"/>
  <c r="C12" i="2"/>
  <c r="B12" i="2"/>
  <c r="N12" i="2"/>
  <c r="M11" i="2"/>
  <c r="L11" i="2"/>
  <c r="K11" i="2"/>
  <c r="J11" i="2"/>
  <c r="I11" i="2"/>
  <c r="H11" i="2"/>
  <c r="G11" i="2"/>
  <c r="F11" i="2"/>
  <c r="E11" i="2"/>
  <c r="D11" i="2"/>
  <c r="C11" i="2"/>
  <c r="B11" i="2"/>
  <c r="N11" i="2"/>
  <c r="M10" i="2"/>
  <c r="L10" i="2"/>
  <c r="K10" i="2"/>
  <c r="J10" i="2"/>
  <c r="I10" i="2"/>
  <c r="H10" i="2"/>
  <c r="G10" i="2"/>
  <c r="F10" i="2"/>
  <c r="E10" i="2"/>
  <c r="D10" i="2"/>
  <c r="C10" i="2"/>
  <c r="B10" i="2"/>
  <c r="N9" i="2"/>
  <c r="M25" i="2"/>
  <c r="L25" i="2"/>
  <c r="K25" i="2"/>
  <c r="J25" i="2"/>
  <c r="I25" i="2"/>
  <c r="H25" i="2"/>
  <c r="G25" i="2"/>
  <c r="F25" i="2"/>
  <c r="E25" i="2"/>
  <c r="D25" i="2"/>
  <c r="C25" i="2"/>
  <c r="B25" i="2"/>
  <c r="N25" i="2"/>
  <c r="M16" i="2"/>
  <c r="L16" i="2"/>
  <c r="K16" i="2"/>
  <c r="J16" i="2"/>
  <c r="I16" i="2"/>
  <c r="H16" i="2"/>
  <c r="G16" i="2"/>
  <c r="F16" i="2"/>
  <c r="E16" i="2"/>
  <c r="D16" i="2"/>
  <c r="C16" i="2"/>
  <c r="B16" i="2"/>
  <c r="L24" i="2"/>
  <c r="K24" i="2"/>
  <c r="J24" i="2"/>
  <c r="I24" i="2"/>
  <c r="H24" i="2"/>
  <c r="G24" i="2"/>
  <c r="F24" i="2"/>
  <c r="E24" i="2"/>
  <c r="D24" i="2"/>
  <c r="N24" i="2"/>
  <c r="L15" i="2"/>
  <c r="K15" i="2"/>
  <c r="J15" i="2"/>
  <c r="I15" i="2"/>
  <c r="H15" i="2"/>
  <c r="G15" i="2"/>
  <c r="F15" i="2"/>
  <c r="E15" i="2"/>
  <c r="D15" i="2"/>
  <c r="N7" i="2"/>
  <c r="N35" i="1"/>
  <c r="C31" i="1"/>
  <c r="N31" i="1"/>
  <c r="M28" i="1"/>
  <c r="L28" i="1"/>
  <c r="K28" i="1"/>
  <c r="J28" i="1"/>
  <c r="I28" i="1"/>
  <c r="H28" i="1"/>
  <c r="G28" i="1"/>
  <c r="F28" i="1"/>
  <c r="E28" i="1"/>
  <c r="D28" i="1"/>
  <c r="C28" i="1"/>
  <c r="B28" i="1"/>
  <c r="N28" i="1"/>
  <c r="M27" i="1"/>
  <c r="L27" i="1"/>
  <c r="K27" i="1"/>
  <c r="J27" i="1"/>
  <c r="I27" i="1"/>
  <c r="H27" i="1"/>
  <c r="G27" i="1"/>
  <c r="F27" i="1"/>
  <c r="E27" i="1"/>
  <c r="D27" i="1"/>
  <c r="C27" i="1"/>
  <c r="B27" i="1"/>
  <c r="N27" i="1"/>
  <c r="M26" i="1"/>
  <c r="L26" i="1"/>
  <c r="K26" i="1"/>
  <c r="J26" i="1"/>
  <c r="I26" i="1"/>
  <c r="H26" i="1"/>
  <c r="G26" i="1"/>
  <c r="F26" i="1"/>
  <c r="E26" i="1"/>
  <c r="D26" i="1"/>
  <c r="C26" i="1"/>
  <c r="B26" i="1"/>
  <c r="N26" i="1"/>
  <c r="M25" i="1"/>
  <c r="L25" i="1"/>
  <c r="K25" i="1"/>
  <c r="J25" i="1"/>
  <c r="I25" i="1"/>
  <c r="H25" i="1"/>
  <c r="G25" i="1"/>
  <c r="F25" i="1"/>
  <c r="E25" i="1"/>
  <c r="D25" i="1"/>
  <c r="C25" i="1"/>
  <c r="B25" i="1"/>
  <c r="N25" i="1"/>
  <c r="M24" i="1"/>
  <c r="M29" i="1"/>
  <c r="L24" i="1"/>
  <c r="L29" i="1"/>
  <c r="K24" i="1"/>
  <c r="K29" i="1"/>
  <c r="J24" i="1"/>
  <c r="J29" i="1"/>
  <c r="I24" i="1"/>
  <c r="I29" i="1"/>
  <c r="H24" i="1"/>
  <c r="H29" i="1"/>
  <c r="G24" i="1"/>
  <c r="G29" i="1"/>
  <c r="F24" i="1"/>
  <c r="F29" i="1"/>
  <c r="E24" i="1"/>
  <c r="E29" i="1"/>
  <c r="D24" i="1"/>
  <c r="D29" i="1"/>
  <c r="C24" i="1"/>
  <c r="C29" i="1"/>
  <c r="B24" i="1"/>
  <c r="N23" i="1"/>
  <c r="M21" i="1"/>
  <c r="L21" i="1"/>
  <c r="K21" i="1"/>
  <c r="I21" i="1"/>
  <c r="H21" i="1"/>
  <c r="G21" i="1"/>
  <c r="F21" i="1"/>
  <c r="D21" i="1"/>
  <c r="C21" i="1"/>
  <c r="B21" i="1"/>
  <c r="N21" i="1"/>
  <c r="M20" i="1"/>
  <c r="L20" i="1"/>
  <c r="K20" i="1"/>
  <c r="J20" i="1"/>
  <c r="I20" i="1"/>
  <c r="H20" i="1"/>
  <c r="G20" i="1"/>
  <c r="F20" i="1"/>
  <c r="E20" i="1"/>
  <c r="D20" i="1"/>
  <c r="C20" i="1"/>
  <c r="B20" i="1"/>
  <c r="N20" i="1"/>
  <c r="M19" i="1"/>
  <c r="L19" i="1"/>
  <c r="K19" i="1"/>
  <c r="J19" i="1"/>
  <c r="I19" i="1"/>
  <c r="H19" i="1"/>
  <c r="G19" i="1"/>
  <c r="F19" i="1"/>
  <c r="E19" i="1"/>
  <c r="D19" i="1"/>
  <c r="C19" i="1"/>
  <c r="B19" i="1"/>
  <c r="N19" i="1"/>
  <c r="M18" i="1"/>
  <c r="L18" i="1"/>
  <c r="K18" i="1"/>
  <c r="J18" i="1"/>
  <c r="I18" i="1"/>
  <c r="H18" i="1"/>
  <c r="G18" i="1"/>
  <c r="F18" i="1"/>
  <c r="E18" i="1"/>
  <c r="D18" i="1"/>
  <c r="C18" i="1"/>
  <c r="B18" i="1"/>
  <c r="N18" i="1"/>
  <c r="M17" i="1"/>
  <c r="M22" i="1"/>
  <c r="M30" i="1"/>
  <c r="L17" i="1"/>
  <c r="L22" i="1"/>
  <c r="L30" i="1"/>
  <c r="K17" i="1"/>
  <c r="K22" i="1"/>
  <c r="K30" i="1"/>
  <c r="J17" i="1"/>
  <c r="J22" i="1"/>
  <c r="J30" i="1"/>
  <c r="I17" i="1"/>
  <c r="I22" i="1"/>
  <c r="I30" i="1"/>
  <c r="H17" i="1"/>
  <c r="H22" i="1"/>
  <c r="H30" i="1"/>
  <c r="G17" i="1"/>
  <c r="G22" i="1"/>
  <c r="G30" i="1"/>
  <c r="F17" i="1"/>
  <c r="F22" i="1"/>
  <c r="F30" i="1"/>
  <c r="E17" i="1"/>
  <c r="E22" i="1"/>
  <c r="E30" i="1"/>
  <c r="D17" i="1"/>
  <c r="D22" i="1"/>
  <c r="D30" i="1"/>
  <c r="C17" i="1"/>
  <c r="C22" i="1"/>
  <c r="C30" i="1"/>
  <c r="B17" i="1"/>
  <c r="N16" i="1"/>
  <c r="N15" i="1"/>
  <c r="M13" i="1"/>
  <c r="L13" i="1"/>
  <c r="K13" i="1"/>
  <c r="J13" i="1"/>
  <c r="I13" i="1"/>
  <c r="H13" i="1"/>
  <c r="G13" i="1"/>
  <c r="F13" i="1"/>
  <c r="E13" i="1"/>
  <c r="D13" i="1"/>
  <c r="C13" i="1"/>
  <c r="N13" i="1"/>
  <c r="M12" i="1"/>
  <c r="L12" i="1"/>
  <c r="K12" i="1"/>
  <c r="J12" i="1"/>
  <c r="H12" i="1"/>
  <c r="G12" i="1"/>
  <c r="F12" i="1"/>
  <c r="E12" i="1"/>
  <c r="D12" i="1"/>
  <c r="C12" i="1"/>
  <c r="N12" i="1"/>
  <c r="M11" i="1"/>
  <c r="L11" i="1"/>
  <c r="K11" i="1"/>
  <c r="J11" i="1"/>
  <c r="I11" i="1"/>
  <c r="H11" i="1"/>
  <c r="G11" i="1"/>
  <c r="F11" i="1"/>
  <c r="E11" i="1"/>
  <c r="D11" i="1"/>
  <c r="C11" i="1"/>
  <c r="B11" i="1"/>
  <c r="N11" i="1"/>
  <c r="M10" i="1"/>
  <c r="M14" i="1"/>
  <c r="M32" i="1"/>
  <c r="M33" i="1"/>
  <c r="M36" i="1"/>
  <c r="M37" i="1"/>
  <c r="L10" i="1"/>
  <c r="K10" i="1"/>
  <c r="J10" i="1"/>
  <c r="I10" i="1"/>
  <c r="H10" i="1"/>
  <c r="G10" i="1"/>
  <c r="F10" i="1"/>
  <c r="E10" i="1"/>
  <c r="D10" i="1"/>
  <c r="C10" i="1"/>
  <c r="C14" i="1"/>
  <c r="C32" i="1"/>
  <c r="C33" i="1"/>
  <c r="C36" i="1"/>
  <c r="C37" i="1"/>
  <c r="B10" i="1"/>
  <c r="L9" i="1"/>
  <c r="K9" i="1"/>
  <c r="J9" i="1"/>
  <c r="I9" i="1"/>
  <c r="H9" i="1"/>
  <c r="G9" i="1"/>
  <c r="F9" i="1"/>
  <c r="E9" i="1"/>
  <c r="D9" i="1"/>
  <c r="N9" i="1"/>
  <c r="L8" i="1"/>
  <c r="L14" i="1"/>
  <c r="L32" i="1"/>
  <c r="L33" i="1"/>
  <c r="L36" i="1"/>
  <c r="L37" i="1"/>
  <c r="K8" i="1"/>
  <c r="K14" i="1"/>
  <c r="K32" i="1"/>
  <c r="K33" i="1"/>
  <c r="K36" i="1"/>
  <c r="K37" i="1"/>
  <c r="J8" i="1"/>
  <c r="J14" i="1"/>
  <c r="J32" i="1"/>
  <c r="J33" i="1"/>
  <c r="J36" i="1"/>
  <c r="J37" i="1"/>
  <c r="I8" i="1"/>
  <c r="I14" i="1"/>
  <c r="I32" i="1"/>
  <c r="I33" i="1"/>
  <c r="I36" i="1"/>
  <c r="I37" i="1"/>
  <c r="H8" i="1"/>
  <c r="H14" i="1"/>
  <c r="H32" i="1"/>
  <c r="H33" i="1"/>
  <c r="H36" i="1"/>
  <c r="H37" i="1"/>
  <c r="G8" i="1"/>
  <c r="G14" i="1"/>
  <c r="G32" i="1"/>
  <c r="G33" i="1"/>
  <c r="G36" i="1"/>
  <c r="G37" i="1"/>
  <c r="F8" i="1"/>
  <c r="F14" i="1"/>
  <c r="F32" i="1"/>
  <c r="F33" i="1"/>
  <c r="F36" i="1"/>
  <c r="F37" i="1"/>
  <c r="E8" i="1"/>
  <c r="E14" i="1"/>
  <c r="E32" i="1"/>
  <c r="E33" i="1"/>
  <c r="E36" i="1"/>
  <c r="E37" i="1"/>
  <c r="D8" i="1"/>
  <c r="N7" i="1"/>
  <c r="B17" i="2"/>
  <c r="C17" i="2"/>
  <c r="D17" i="2"/>
  <c r="E17" i="2"/>
  <c r="F17" i="2"/>
  <c r="G17" i="2"/>
  <c r="H17" i="2"/>
  <c r="I17" i="2"/>
  <c r="J17" i="2"/>
  <c r="K17" i="2"/>
  <c r="L17" i="2"/>
  <c r="M17" i="2"/>
  <c r="B26" i="2"/>
  <c r="C26" i="2"/>
  <c r="D26" i="2"/>
  <c r="E26" i="2"/>
  <c r="F26" i="2"/>
  <c r="G26" i="2"/>
  <c r="H26" i="2"/>
  <c r="I26" i="2"/>
  <c r="J26" i="2"/>
  <c r="K26" i="2"/>
  <c r="L26" i="2"/>
  <c r="M26" i="2"/>
  <c r="N15" i="2"/>
  <c r="N16" i="2"/>
  <c r="N10" i="2"/>
  <c r="N17" i="2"/>
  <c r="N19" i="2"/>
  <c r="N26" i="2"/>
  <c r="D14" i="1"/>
  <c r="D32" i="1"/>
  <c r="D33" i="1"/>
  <c r="D36" i="1"/>
  <c r="D37" i="1"/>
  <c r="N8" i="1"/>
  <c r="B14" i="1"/>
  <c r="N10" i="1"/>
  <c r="B22" i="1"/>
  <c r="N17" i="1"/>
  <c r="B29" i="1"/>
  <c r="N29" i="1"/>
  <c r="N24" i="1"/>
  <c r="M27" i="2"/>
  <c r="L27" i="2"/>
  <c r="K27" i="2"/>
  <c r="J27" i="2"/>
  <c r="I27" i="2"/>
  <c r="H27" i="2"/>
  <c r="G27" i="2"/>
  <c r="F27" i="2"/>
  <c r="E27" i="2"/>
  <c r="D27" i="2"/>
  <c r="C27" i="2"/>
  <c r="B27" i="2"/>
  <c r="N27" i="2"/>
  <c r="B30" i="1"/>
  <c r="N30" i="1"/>
  <c r="N22" i="1"/>
  <c r="B32" i="1"/>
  <c r="N14" i="1"/>
  <c r="B33" i="1"/>
  <c r="N32" i="1"/>
  <c r="B36" i="1"/>
  <c r="N33" i="1"/>
  <c r="B37" i="1"/>
  <c r="N37" i="1"/>
  <c r="N36" i="1"/>
</calcChain>
</file>

<file path=xl/sharedStrings.xml><?xml version="1.0" encoding="utf-8"?>
<sst xmlns="http://schemas.openxmlformats.org/spreadsheetml/2006/main" count="100" uniqueCount="54">
  <si>
    <t>Aunt Mary's Dispensary</t>
  </si>
  <si>
    <t>Profit and Loss</t>
  </si>
  <si>
    <t>January - December 2025</t>
  </si>
  <si>
    <t>Jan 2025</t>
  </si>
  <si>
    <t>Feb 2025</t>
  </si>
  <si>
    <t>Mar 2025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</si>
  <si>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</si>
  <si>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</si>
  <si>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</si>
  <si>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</si>
  <si>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</si>
  <si>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</si>
  <si>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</si>
  <si>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</si>
  <si>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</si>
  <si>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Total</t>
  </si>
  <si>
    <t>Income</t>
  </si>
  <si>
    <t xml:space="preserve">   Discounts given</t>
  </si>
  <si>
    <t xml:space="preserve">   Retail Dispensary Sales</t>
  </si>
  <si>
    <t xml:space="preserve">      MED Sales</t>
  </si>
  <si>
    <t xml:space="preserve">         Accessories</t>
  </si>
  <si>
    <t xml:space="preserve">         Concentrates</t>
  </si>
  <si>
    <t xml:space="preserve">         Edibles</t>
  </si>
  <si>
    <t xml:space="preserve">         Flower</t>
  </si>
  <si>
    <t xml:space="preserve">         Lotions</t>
  </si>
  <si>
    <t xml:space="preserve">      Discounts Loyalty Med</t>
  </si>
  <si>
    <t xml:space="preserve">      Discounts-Other Med</t>
  </si>
  <si>
    <t xml:space="preserve">      Total MED Sales</t>
  </si>
  <si>
    <t xml:space="preserve">      REC Sales</t>
  </si>
  <si>
    <t xml:space="preserve">         Accessory</t>
  </si>
  <si>
    <t xml:space="preserve">      Discounts Loyalty Rec</t>
  </si>
  <si>
    <t xml:space="preserve">      Discounts-Other Rec</t>
  </si>
  <si>
    <t xml:space="preserve">      Total REC Sales</t>
  </si>
  <si>
    <t xml:space="preserve">   Total Retail Dispensary Sales</t>
  </si>
  <si>
    <t>not subject to 2% tax</t>
  </si>
  <si>
    <t>MED SALES TOTAL</t>
  </si>
  <si>
    <t>REC SALES TOTAL</t>
  </si>
  <si>
    <t>accessories sales total</t>
  </si>
  <si>
    <t>disocounts for acccessories</t>
  </si>
  <si>
    <t>med sales net accessories and accessory discounts</t>
  </si>
  <si>
    <t>rec sales net accessories and accessory discounts</t>
  </si>
  <si>
    <t>2% Tax due</t>
  </si>
  <si>
    <t>TOTAL DUE</t>
  </si>
  <si>
    <t>Tuesday, Jan 06, 2026 04:56:58 PM GMT-8 - Cash Basis</t>
  </si>
  <si>
    <t xml:space="preserve">      Refunds Med</t>
  </si>
  <si>
    <t xml:space="preserve">      Refunds Rec</t>
  </si>
  <si>
    <t xml:space="preserve">   Total Discounts given</t>
  </si>
  <si>
    <t xml:space="preserve">   Unapplied Cash Payment Income</t>
  </si>
  <si>
    <t>Total Income</t>
  </si>
  <si>
    <t>Gross Profit</t>
  </si>
  <si>
    <t>Expenses</t>
  </si>
  <si>
    <t>Total Expenses</t>
  </si>
  <si>
    <t>Net Operating Income</t>
  </si>
  <si>
    <t>Net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</si>
</sst>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#,##0.00\ _€"/>
    <numFmt numFmtId="165" formatCode="&quot;$&quot;* #,##0.00\ _€"/>
  </numFmts>
  <fonts count="7" x14ac:knownFonts="1">
    <font>
      <sz val="11"/>
      <color indexed="8"/>
      <name val="Calibri"/>
      <family val="2"/>
      <scheme val="minor"/>
    </font>
    <font>
      <b/>
      <sz val="14"/>
      <color indexed="8"/>
      <name val="Arial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4"/>
      <color indexed="8"/>
      <name val="Arial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165" fontId="1" fillId="0" borderId="2" xfId="0" applyNumberFormat="1" applyFont="1" applyBorder="1" applyAlignment="1">
      <alignment horizontal="right"/>
    </xf>
    <xf numFmtId="0" fontId="5" fillId="0" borderId="9" xfId="0" applyFont="1" applyBorder="1"/>
    <xf numFmtId="0" fontId="3" fillId="0" borderId="3" xfId="0" applyFont="1" applyBorder="1"/>
    <xf numFmtId="44" fontId="3" fillId="0" borderId="4" xfId="1" applyFont="1" applyBorder="1"/>
    <xf numFmtId="0" fontId="3" fillId="0" borderId="5" xfId="0" applyFont="1" applyBorder="1"/>
    <xf numFmtId="44" fontId="3" fillId="0" borderId="6" xfId="1" applyFont="1" applyBorder="1"/>
    <xf numFmtId="0" fontId="3" fillId="0" borderId="5" xfId="0" applyFont="1" applyBorder="1" applyAlignment="1">
      <alignment wrapText="1"/>
    </xf>
    <xf numFmtId="44" fontId="3" fillId="0" borderId="6" xfId="1" applyFont="1" applyBorder="1" applyAlignment="1">
      <alignment wrapText="1"/>
    </xf>
    <xf numFmtId="0" fontId="3" fillId="0" borderId="7" xfId="0" applyFont="1" applyBorder="1"/>
    <xf numFmtId="44" fontId="6" fillId="0" borderId="8" xfId="1" applyFont="1" applyBorder="1"/>
    <xf numFmtId="0" fontId="1" fillId="2" borderId="0" xfId="0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0" fontId="3" fillId="2" borderId="0" xfId="0" applyFont="1" applyFill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44" fontId="3" fillId="0" borderId="14" xfId="1" applyFont="1" applyBorder="1"/>
    <xf numFmtId="0" fontId="3" fillId="0" borderId="15" xfId="0" applyFont="1" applyBorder="1"/>
    <xf numFmtId="44" fontId="3" fillId="0" borderId="16" xfId="1" applyFont="1" applyBorder="1"/>
    <xf numFmtId="0" fontId="3" fillId="0" borderId="15" xfId="0" applyFont="1" applyBorder="1" applyAlignment="1">
      <alignment wrapText="1"/>
    </xf>
    <xf numFmtId="0" fontId="3" fillId="0" borderId="0" xfId="0" applyFont="1" applyAlignment="1">
      <alignment wrapText="1"/>
    </xf>
    <xf numFmtId="44" fontId="3" fillId="0" borderId="16" xfId="1" applyFont="1" applyBorder="1" applyAlignment="1">
      <alignment wrapText="1"/>
    </xf>
    <xf numFmtId="0" fontId="3" fillId="0" borderId="17" xfId="0" applyFont="1" applyBorder="1"/>
    <xf numFmtId="44" fontId="6" fillId="0" borderId="18" xfId="1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44" fontId="5" fillId="0" borderId="23" xfId="0" applyNumberFormat="1" applyFont="1" applyBorder="1"/>
    <xf numFmtId="0" fontId="0" fillId="0" borderId="24" xfId="0" applyBorder="1"/>
    <xf numFmtId="44" fontId="3" fillId="0" borderId="16" xfId="1" applyFont="1" applyFill="1" applyBorder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D2742-0596-494F-BB6D-F1E741480977}">
  <dimension ref="A1:N40"/>
  <sheetViews>
    <sheetView tabSelected="1" topLeftCell="A12" workbookViewId="0">
      <selection activeCell="A25" sqref="A25"/>
    </sheetView>
  </sheetViews>
  <sheetFormatPr defaultColWidth="9.140625" defaultRowHeight="18.75" x14ac:dyDescent="0.3"/>
  <cols>
    <col min="1" max="1" width="47.28515625" style="1" bestFit="1" customWidth="1"/>
    <col min="2" max="4" width="19" style="1" bestFit="1" customWidth="1"/>
    <col min="5" max="5" width="31.85546875" style="1" bestFit="1" customWidth="1"/>
    <col min="6" max="6" width="21.5703125" style="1" customWidth="1"/>
    <col min="7" max="7" width="19" style="1" bestFit="1" customWidth="1"/>
    <col min="8" max="8" width="31.85546875" style="1" bestFit="1" customWidth="1"/>
    <col min="9" max="9" width="20.42578125" style="1" bestFit="1" customWidth="1"/>
    <col min="10" max="10" width="19" style="1" bestFit="1" customWidth="1"/>
    <col min="11" max="13" width="20.42578125" style="1" bestFit="1" customWidth="1"/>
    <col min="14" max="14" width="22" style="1" bestFit="1" customWidth="1"/>
    <col min="15" max="16384" width="9.140625" style="1"/>
  </cols>
  <sheetData>
    <row r="1" spans="1:14" x14ac:dyDescent="0.3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x14ac:dyDescent="0.3">
      <c r="A2" s="38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x14ac:dyDescent="0.3">
      <c r="A3" s="38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5" spans="1:14" x14ac:dyDescent="0.3"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  <c r="M5" s="2" t="s">
        <v>14</v>
      </c>
      <c r="N5" s="2" t="s">
        <v>15</v>
      </c>
    </row>
    <row r="6" spans="1:14" x14ac:dyDescent="0.3">
      <c r="A6" s="3" t="s">
        <v>16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">
      <c r="A7" s="3" t="s">
        <v>17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>
        <f>(((((((((((B7)+(C7))+(D7))+(E7))+(F7))+(G7))+(H7))+(I7))+(J7))+(K7))+(L7))+(M7)</f>
        <v>0</v>
      </c>
    </row>
    <row r="8" spans="1:14" x14ac:dyDescent="0.3">
      <c r="A8" s="3" t="s">
        <v>18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</row>
    <row r="9" spans="1:14" x14ac:dyDescent="0.3">
      <c r="A9" s="3" t="s">
        <v>19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5">
        <f t="shared" ref="N9:N16" si="0">(((((((((((B9)+(C9))+(D9))+(E9))+(F9))+(G9))+(H9))+(I9))+(J9))+(K9))+(L9))+(M9)</f>
        <v>0</v>
      </c>
    </row>
    <row r="10" spans="1:14" x14ac:dyDescent="0.3">
      <c r="A10" s="16" t="s">
        <v>20</v>
      </c>
      <c r="B10" s="17">
        <f>339</f>
        <v>339</v>
      </c>
      <c r="C10" s="17">
        <f>248.5</f>
        <v>248.5</v>
      </c>
      <c r="D10" s="17">
        <f>386</f>
        <v>386</v>
      </c>
      <c r="E10" s="17">
        <f>206.5</f>
        <v>206.5</v>
      </c>
      <c r="F10" s="17">
        <f>184.5</f>
        <v>184.5</v>
      </c>
      <c r="G10" s="17">
        <f>79</f>
        <v>79</v>
      </c>
      <c r="H10" s="17">
        <f>239</f>
        <v>239</v>
      </c>
      <c r="I10" s="17">
        <f>171</f>
        <v>171</v>
      </c>
      <c r="J10" s="17">
        <f>50.5</f>
        <v>50.5</v>
      </c>
      <c r="K10" s="17">
        <f>134.25</f>
        <v>134.25</v>
      </c>
      <c r="L10" s="17">
        <f>71.5</f>
        <v>71.5</v>
      </c>
      <c r="M10" s="17">
        <f>50</f>
        <v>50</v>
      </c>
      <c r="N10" s="17">
        <f t="shared" si="0"/>
        <v>2159.75</v>
      </c>
    </row>
    <row r="11" spans="1:14" x14ac:dyDescent="0.3">
      <c r="A11" s="3" t="s">
        <v>21</v>
      </c>
      <c r="B11" s="5">
        <f>17850</f>
        <v>17850</v>
      </c>
      <c r="C11" s="5">
        <f>14910</f>
        <v>14910</v>
      </c>
      <c r="D11" s="5">
        <f>17570</f>
        <v>17570</v>
      </c>
      <c r="E11" s="5">
        <f>13305</f>
        <v>13305</v>
      </c>
      <c r="F11" s="5">
        <f>14545</f>
        <v>14545</v>
      </c>
      <c r="G11" s="5">
        <f>13220</f>
        <v>13220</v>
      </c>
      <c r="H11" s="5">
        <f>12770</f>
        <v>12770</v>
      </c>
      <c r="I11" s="5">
        <f>9530</f>
        <v>9530</v>
      </c>
      <c r="J11" s="5">
        <f>7020</f>
        <v>7020</v>
      </c>
      <c r="K11" s="5">
        <f>8160</f>
        <v>8160</v>
      </c>
      <c r="L11" s="5">
        <f>6990</f>
        <v>6990</v>
      </c>
      <c r="M11" s="5">
        <f>7715</f>
        <v>7715</v>
      </c>
      <c r="N11" s="5">
        <f t="shared" si="0"/>
        <v>143585</v>
      </c>
    </row>
    <row r="12" spans="1:14" x14ac:dyDescent="0.3">
      <c r="A12" s="3" t="s">
        <v>22</v>
      </c>
      <c r="B12" s="5">
        <f>12927.2</f>
        <v>12927.2</v>
      </c>
      <c r="C12" s="5">
        <f>10638.5</f>
        <v>10638.5</v>
      </c>
      <c r="D12" s="5">
        <f>11393</f>
        <v>11393</v>
      </c>
      <c r="E12" s="5">
        <f>8720.5</f>
        <v>8720.5</v>
      </c>
      <c r="F12" s="5">
        <f>8771</f>
        <v>8771</v>
      </c>
      <c r="G12" s="5">
        <f>7317</f>
        <v>7317</v>
      </c>
      <c r="H12" s="5">
        <f>7262</f>
        <v>7262</v>
      </c>
      <c r="I12" s="5">
        <f>6383</f>
        <v>6383</v>
      </c>
      <c r="J12" s="5">
        <f>4972</f>
        <v>4972</v>
      </c>
      <c r="K12" s="5">
        <f>5396.5</f>
        <v>5396.5</v>
      </c>
      <c r="L12" s="5">
        <f>4555</f>
        <v>4555</v>
      </c>
      <c r="M12" s="5">
        <f>4702.56</f>
        <v>4702.5600000000004</v>
      </c>
      <c r="N12" s="5">
        <f t="shared" si="0"/>
        <v>93038.26</v>
      </c>
    </row>
    <row r="13" spans="1:14" x14ac:dyDescent="0.3">
      <c r="A13" s="3" t="s">
        <v>23</v>
      </c>
      <c r="B13" s="5">
        <f>27884.45</f>
        <v>27884.45</v>
      </c>
      <c r="C13" s="5">
        <f>37359</f>
        <v>37359</v>
      </c>
      <c r="D13" s="5">
        <f>40264</f>
        <v>40264</v>
      </c>
      <c r="E13" s="5">
        <f>45092.04</f>
        <v>45092.04</v>
      </c>
      <c r="F13" s="5">
        <f>23221.41</f>
        <v>23221.41</v>
      </c>
      <c r="G13" s="5">
        <f>29765</f>
        <v>29765</v>
      </c>
      <c r="H13" s="5">
        <f>44456</f>
        <v>44456</v>
      </c>
      <c r="I13" s="5">
        <f>54631</f>
        <v>54631</v>
      </c>
      <c r="J13" s="5">
        <f>21924</f>
        <v>21924</v>
      </c>
      <c r="K13" s="5">
        <f>12407</f>
        <v>12407</v>
      </c>
      <c r="L13" s="5">
        <f>11209</f>
        <v>11209</v>
      </c>
      <c r="M13" s="5">
        <f>9871</f>
        <v>9871</v>
      </c>
      <c r="N13" s="5">
        <f t="shared" si="0"/>
        <v>358083.9</v>
      </c>
    </row>
    <row r="14" spans="1:14" x14ac:dyDescent="0.3">
      <c r="A14" s="3" t="s">
        <v>24</v>
      </c>
      <c r="B14" s="5">
        <f>110</f>
        <v>110</v>
      </c>
      <c r="C14" s="5">
        <f>200</f>
        <v>200</v>
      </c>
      <c r="D14" s="5">
        <f>200</f>
        <v>200</v>
      </c>
      <c r="E14" s="4"/>
      <c r="F14" s="5">
        <f>290</f>
        <v>290</v>
      </c>
      <c r="G14" s="5">
        <f>90</f>
        <v>90</v>
      </c>
      <c r="H14" s="5">
        <f>180</f>
        <v>180</v>
      </c>
      <c r="I14" s="5">
        <f>220</f>
        <v>220</v>
      </c>
      <c r="J14" s="4"/>
      <c r="K14" s="5">
        <f>100</f>
        <v>100</v>
      </c>
      <c r="L14" s="5">
        <f>235</f>
        <v>235</v>
      </c>
      <c r="M14" s="5">
        <f>55</f>
        <v>55</v>
      </c>
      <c r="N14" s="5">
        <f t="shared" si="0"/>
        <v>1680</v>
      </c>
    </row>
    <row r="15" spans="1:14" x14ac:dyDescent="0.3">
      <c r="A15" s="3" t="s">
        <v>25</v>
      </c>
      <c r="B15" s="4"/>
      <c r="C15" s="4"/>
      <c r="D15" s="5">
        <f>-4063.7</f>
        <v>-4063.7</v>
      </c>
      <c r="E15" s="5">
        <f>-6314.1</f>
        <v>-6314.1</v>
      </c>
      <c r="F15" s="5">
        <f>-4505</f>
        <v>-4505</v>
      </c>
      <c r="G15" s="5">
        <f>-4203.1</f>
        <v>-4203.1000000000004</v>
      </c>
      <c r="H15" s="5">
        <f>-4372</f>
        <v>-4372</v>
      </c>
      <c r="I15" s="5">
        <f>-4735</f>
        <v>-4735</v>
      </c>
      <c r="J15" s="5">
        <f>-4234</f>
        <v>-4234</v>
      </c>
      <c r="K15" s="5">
        <f>-3688</f>
        <v>-3688</v>
      </c>
      <c r="L15" s="5">
        <f>-93</f>
        <v>-93</v>
      </c>
      <c r="M15" s="4">
        <v>-13440.9</v>
      </c>
      <c r="N15" s="5">
        <f t="shared" si="0"/>
        <v>-49648.800000000003</v>
      </c>
    </row>
    <row r="16" spans="1:14" x14ac:dyDescent="0.3">
      <c r="A16" s="3" t="s">
        <v>26</v>
      </c>
      <c r="B16" s="5">
        <f>-9143.31</f>
        <v>-9143.31</v>
      </c>
      <c r="C16" s="5">
        <f>-18775.73</f>
        <v>-18775.73</v>
      </c>
      <c r="D16" s="5">
        <f>-15198.58</f>
        <v>-15198.58</v>
      </c>
      <c r="E16" s="5">
        <f>-18810.8</f>
        <v>-18810.8</v>
      </c>
      <c r="F16" s="5">
        <f>-2995.27</f>
        <v>-2995.27</v>
      </c>
      <c r="G16" s="5">
        <f>-4248.95</f>
        <v>-4248.95</v>
      </c>
      <c r="H16" s="5">
        <f>-23998.66</f>
        <v>-23998.66</v>
      </c>
      <c r="I16" s="5">
        <f>-33977.3</f>
        <v>-33977.300000000003</v>
      </c>
      <c r="J16" s="5">
        <f>-5949.97</f>
        <v>-5949.97</v>
      </c>
      <c r="K16" s="5">
        <f>-1477.21</f>
        <v>-1477.21</v>
      </c>
      <c r="L16" s="5">
        <f>-5106.58</f>
        <v>-5106.58</v>
      </c>
      <c r="M16" s="5">
        <f>-3786.51</f>
        <v>-3786.51</v>
      </c>
      <c r="N16" s="5">
        <f t="shared" si="0"/>
        <v>-143468.87</v>
      </c>
    </row>
    <row r="17" spans="1:14" x14ac:dyDescent="0.3">
      <c r="A17" s="3" t="s">
        <v>27</v>
      </c>
      <c r="B17" s="6">
        <f>(((((B9)+(B10))+(B11))+(B12))+(B13))+(B14)+B15+B16</f>
        <v>49967.340000000004</v>
      </c>
      <c r="C17" s="6">
        <f t="shared" ref="C17:N17" si="1">(((((C9)+(C10))+(C11))+(C12))+(C13))+(C14)+C15+C16</f>
        <v>44580.270000000004</v>
      </c>
      <c r="D17" s="6">
        <f t="shared" si="1"/>
        <v>50550.720000000001</v>
      </c>
      <c r="E17" s="6">
        <f t="shared" si="1"/>
        <v>42199.140000000014</v>
      </c>
      <c r="F17" s="6">
        <f t="shared" si="1"/>
        <v>39511.640000000007</v>
      </c>
      <c r="G17" s="6">
        <f t="shared" si="1"/>
        <v>42018.950000000004</v>
      </c>
      <c r="H17" s="6">
        <f t="shared" si="1"/>
        <v>36536.339999999997</v>
      </c>
      <c r="I17" s="6">
        <f t="shared" si="1"/>
        <v>32222.699999999997</v>
      </c>
      <c r="J17" s="6">
        <f t="shared" si="1"/>
        <v>23782.53</v>
      </c>
      <c r="K17" s="6">
        <f t="shared" si="1"/>
        <v>21032.54</v>
      </c>
      <c r="L17" s="6">
        <f t="shared" si="1"/>
        <v>17860.919999999998</v>
      </c>
      <c r="M17" s="6">
        <f t="shared" si="1"/>
        <v>5166.1500000000015</v>
      </c>
      <c r="N17" s="6">
        <f t="shared" si="1"/>
        <v>405429.24</v>
      </c>
    </row>
    <row r="18" spans="1:14" x14ac:dyDescent="0.3">
      <c r="A18" s="3" t="s">
        <v>28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>
        <f t="shared" ref="N18:N25" si="2">(((((((((((B18)+(C18))+(D18))+(E18))+(F18))+(G18))+(H18))+(I18))+(J18))+(K18))+(L18))+(M18)</f>
        <v>0</v>
      </c>
    </row>
    <row r="19" spans="1:14" x14ac:dyDescent="0.3">
      <c r="A19" s="16" t="s">
        <v>29</v>
      </c>
      <c r="B19" s="17">
        <f>9537.5</f>
        <v>9537.5</v>
      </c>
      <c r="C19" s="17">
        <f>9264.25</f>
        <v>9264.25</v>
      </c>
      <c r="D19" s="17">
        <f>7286.5</f>
        <v>7286.5</v>
      </c>
      <c r="E19" s="17">
        <f>9181.75</f>
        <v>9181.75</v>
      </c>
      <c r="F19" s="17">
        <f>9563</f>
        <v>9563</v>
      </c>
      <c r="G19" s="17">
        <f>7945</f>
        <v>7945</v>
      </c>
      <c r="H19" s="17">
        <f>9800.75</f>
        <v>9800.75</v>
      </c>
      <c r="I19" s="17">
        <f>9856</f>
        <v>9856</v>
      </c>
      <c r="J19" s="17">
        <f>7334</f>
        <v>7334</v>
      </c>
      <c r="K19" s="17">
        <f>8526.25</f>
        <v>8526.25</v>
      </c>
      <c r="L19" s="17">
        <f>8853.5</f>
        <v>8853.5</v>
      </c>
      <c r="M19" s="17">
        <f>8420.75</f>
        <v>8420.75</v>
      </c>
      <c r="N19" s="17">
        <f t="shared" si="2"/>
        <v>105569.25</v>
      </c>
    </row>
    <row r="20" spans="1:14" x14ac:dyDescent="0.3">
      <c r="A20" s="3" t="s">
        <v>21</v>
      </c>
      <c r="B20" s="5">
        <f>300531.15</f>
        <v>300531.15000000002</v>
      </c>
      <c r="C20" s="5">
        <f>266497.05</f>
        <v>266497.05</v>
      </c>
      <c r="D20" s="5">
        <f>296608.93</f>
        <v>296608.93</v>
      </c>
      <c r="E20" s="5">
        <f>296622.56</f>
        <v>296622.56</v>
      </c>
      <c r="F20" s="5">
        <f>325181.29</f>
        <v>325181.28999999998</v>
      </c>
      <c r="G20" s="5">
        <f>316598.31</f>
        <v>316598.31</v>
      </c>
      <c r="H20" s="5">
        <f>346669.96</f>
        <v>346669.96</v>
      </c>
      <c r="I20" s="5">
        <f>372157.74</f>
        <v>372157.74</v>
      </c>
      <c r="J20" s="5">
        <f>326422.75</f>
        <v>326422.75</v>
      </c>
      <c r="K20" s="5">
        <f>368270.47</f>
        <v>368270.47</v>
      </c>
      <c r="L20" s="5">
        <f>396370.44</f>
        <v>396370.44</v>
      </c>
      <c r="M20" s="5">
        <f>414085.09</f>
        <v>414085.09</v>
      </c>
      <c r="N20" s="5">
        <f t="shared" si="2"/>
        <v>4026015.7399999998</v>
      </c>
    </row>
    <row r="21" spans="1:14" x14ac:dyDescent="0.3">
      <c r="A21" s="3" t="s">
        <v>22</v>
      </c>
      <c r="B21" s="5">
        <f>174132.9</f>
        <v>174132.9</v>
      </c>
      <c r="C21" s="5">
        <f>151787.91</f>
        <v>151787.91</v>
      </c>
      <c r="D21" s="5">
        <f>165624.97</f>
        <v>165624.97</v>
      </c>
      <c r="E21" s="5">
        <f>162949.59</f>
        <v>162949.59</v>
      </c>
      <c r="F21" s="5">
        <f>174363.85</f>
        <v>174363.85</v>
      </c>
      <c r="G21" s="5">
        <f>150699</f>
        <v>150699</v>
      </c>
      <c r="H21" s="5">
        <f>170317.32</f>
        <v>170317.32</v>
      </c>
      <c r="I21" s="5">
        <f>174459.14</f>
        <v>174459.14</v>
      </c>
      <c r="J21" s="5">
        <f>145667.96</f>
        <v>145667.96</v>
      </c>
      <c r="K21" s="5">
        <f>172872.47</f>
        <v>172872.47</v>
      </c>
      <c r="L21" s="5">
        <f>187120.4</f>
        <v>187120.4</v>
      </c>
      <c r="M21" s="5">
        <f>194336.17</f>
        <v>194336.17</v>
      </c>
      <c r="N21" s="5">
        <f t="shared" si="2"/>
        <v>2024331.68</v>
      </c>
    </row>
    <row r="22" spans="1:14" x14ac:dyDescent="0.3">
      <c r="A22" s="3" t="s">
        <v>23</v>
      </c>
      <c r="B22" s="5">
        <f>410875.27</f>
        <v>410875.27</v>
      </c>
      <c r="C22" s="5">
        <f>360757.8</f>
        <v>360757.8</v>
      </c>
      <c r="D22" s="5">
        <f>424342.8</f>
        <v>424342.8</v>
      </c>
      <c r="E22" s="5">
        <f>422419.04</f>
        <v>422419.04</v>
      </c>
      <c r="F22" s="5">
        <f>476060.1</f>
        <v>476060.1</v>
      </c>
      <c r="G22" s="5">
        <f>426788.89</f>
        <v>426788.89</v>
      </c>
      <c r="H22" s="5">
        <f>462105.75</f>
        <v>462105.75</v>
      </c>
      <c r="I22" s="5">
        <f>484748.78</f>
        <v>484748.78</v>
      </c>
      <c r="J22" s="5">
        <f>428080.33</f>
        <v>428080.33</v>
      </c>
      <c r="K22" s="5">
        <f>499907.8</f>
        <v>499907.8</v>
      </c>
      <c r="L22" s="5">
        <f>493987.3</f>
        <v>493987.3</v>
      </c>
      <c r="M22" s="5">
        <f>498552.33</f>
        <v>498552.33</v>
      </c>
      <c r="N22" s="5">
        <f t="shared" si="2"/>
        <v>5388626.1900000004</v>
      </c>
    </row>
    <row r="23" spans="1:14" x14ac:dyDescent="0.3">
      <c r="A23" s="3" t="s">
        <v>24</v>
      </c>
      <c r="B23" s="5">
        <f>3480</f>
        <v>3480</v>
      </c>
      <c r="C23" s="5">
        <f>2720</f>
        <v>2720</v>
      </c>
      <c r="D23" s="5">
        <f>2345</f>
        <v>2345</v>
      </c>
      <c r="E23" s="5">
        <f>1785</f>
        <v>1785</v>
      </c>
      <c r="F23" s="5">
        <f>3620</f>
        <v>3620</v>
      </c>
      <c r="G23" s="5">
        <f>2655</f>
        <v>2655</v>
      </c>
      <c r="H23" s="5">
        <f>2540</f>
        <v>2540</v>
      </c>
      <c r="I23" s="5">
        <f>2160</f>
        <v>2160</v>
      </c>
      <c r="J23" s="5">
        <f>2275</f>
        <v>2275</v>
      </c>
      <c r="K23" s="5">
        <f>3220</f>
        <v>3220</v>
      </c>
      <c r="L23" s="5">
        <f>1450</f>
        <v>1450</v>
      </c>
      <c r="M23" s="5">
        <f>2000</f>
        <v>2000</v>
      </c>
      <c r="N23" s="5">
        <f t="shared" si="2"/>
        <v>30250</v>
      </c>
    </row>
    <row r="24" spans="1:14" x14ac:dyDescent="0.3">
      <c r="A24" s="3" t="s">
        <v>30</v>
      </c>
      <c r="B24" s="4"/>
      <c r="C24" s="4"/>
      <c r="D24" s="5">
        <f>-36573.3</f>
        <v>-36573.300000000003</v>
      </c>
      <c r="E24" s="5">
        <f>-35779.9</f>
        <v>-35779.9</v>
      </c>
      <c r="F24" s="5">
        <f>-40545</f>
        <v>-40545</v>
      </c>
      <c r="G24" s="5">
        <f>-37827.9</f>
        <v>-37827.9</v>
      </c>
      <c r="H24" s="5">
        <f>-39354</f>
        <v>-39354</v>
      </c>
      <c r="I24" s="5">
        <f>-42624</f>
        <v>-42624</v>
      </c>
      <c r="J24" s="5">
        <f>-38109</f>
        <v>-38109</v>
      </c>
      <c r="K24" s="5">
        <f>-33195</f>
        <v>-33195</v>
      </c>
      <c r="L24" s="5">
        <f>-36790</f>
        <v>-36790</v>
      </c>
      <c r="M24" s="4">
        <v>-31362.1</v>
      </c>
      <c r="N24" s="5">
        <f t="shared" si="2"/>
        <v>-372160.19999999995</v>
      </c>
    </row>
    <row r="25" spans="1:14" x14ac:dyDescent="0.3">
      <c r="A25" s="3" t="s">
        <v>31</v>
      </c>
      <c r="B25" s="5">
        <f>-130835.15</f>
        <v>-130835.15</v>
      </c>
      <c r="C25" s="5">
        <f>-110740.81</f>
        <v>-110740.81</v>
      </c>
      <c r="D25" s="5">
        <f>-104609.86</f>
        <v>-104609.86</v>
      </c>
      <c r="E25" s="5">
        <f>-115803.53</f>
        <v>-115803.53</v>
      </c>
      <c r="F25" s="5">
        <f>-131358.42</f>
        <v>-131358.42000000001</v>
      </c>
      <c r="G25" s="5">
        <f>-88557.44</f>
        <v>-88557.440000000002</v>
      </c>
      <c r="H25" s="5">
        <f>-126208.3</f>
        <v>-126208.3</v>
      </c>
      <c r="I25" s="5">
        <f>-126549.55</f>
        <v>-126549.55</v>
      </c>
      <c r="J25" s="5">
        <f>-101690.92</f>
        <v>-101690.92</v>
      </c>
      <c r="K25" s="5">
        <f>-150443.79</f>
        <v>-150443.79</v>
      </c>
      <c r="L25" s="5">
        <f>-188978.04</f>
        <v>-188978.04</v>
      </c>
      <c r="M25" s="5">
        <f>-201859.85</f>
        <v>-201859.85</v>
      </c>
      <c r="N25" s="5">
        <f t="shared" si="2"/>
        <v>-1577635.6600000001</v>
      </c>
    </row>
    <row r="26" spans="1:14" x14ac:dyDescent="0.3">
      <c r="A26" s="3" t="s">
        <v>32</v>
      </c>
      <c r="B26" s="6">
        <f>(((((B18)+(B19))+(B20))+(B21))+(B22))+(B23)+B24+B25</f>
        <v>767721.67</v>
      </c>
      <c r="C26" s="6">
        <f t="shared" ref="C26:N26" si="3">(((((C18)+(C19))+(C20))+(C21))+(C22))+(C23)+C24+C25</f>
        <v>680286.2</v>
      </c>
      <c r="D26" s="6">
        <f t="shared" si="3"/>
        <v>755025.03999999992</v>
      </c>
      <c r="E26" s="6">
        <f t="shared" si="3"/>
        <v>741374.50999999989</v>
      </c>
      <c r="F26" s="6">
        <f t="shared" si="3"/>
        <v>816884.82</v>
      </c>
      <c r="G26" s="6">
        <f t="shared" si="3"/>
        <v>778300.85999999987</v>
      </c>
      <c r="H26" s="6">
        <f t="shared" si="3"/>
        <v>825871.48</v>
      </c>
      <c r="I26" s="6">
        <f t="shared" si="3"/>
        <v>874208.11</v>
      </c>
      <c r="J26" s="6">
        <f t="shared" si="3"/>
        <v>769980.12</v>
      </c>
      <c r="K26" s="6">
        <f t="shared" si="3"/>
        <v>869158.2</v>
      </c>
      <c r="L26" s="6">
        <f t="shared" si="3"/>
        <v>862013.59999999986</v>
      </c>
      <c r="M26" s="6">
        <f t="shared" si="3"/>
        <v>884172.39</v>
      </c>
      <c r="N26" s="6">
        <f t="shared" si="3"/>
        <v>9624997</v>
      </c>
    </row>
    <row r="27" spans="1:14" x14ac:dyDescent="0.3">
      <c r="A27" s="3" t="s">
        <v>33</v>
      </c>
      <c r="B27" s="6">
        <f t="shared" ref="B27:M27" si="4">((B8)+(B17))+(B26)</f>
        <v>817689.01</v>
      </c>
      <c r="C27" s="6">
        <f t="shared" si="4"/>
        <v>724866.47</v>
      </c>
      <c r="D27" s="6">
        <f t="shared" si="4"/>
        <v>805575.75999999989</v>
      </c>
      <c r="E27" s="6">
        <f t="shared" si="4"/>
        <v>783573.64999999991</v>
      </c>
      <c r="F27" s="6">
        <f t="shared" si="4"/>
        <v>856396.46</v>
      </c>
      <c r="G27" s="6">
        <f t="shared" si="4"/>
        <v>820319.80999999982</v>
      </c>
      <c r="H27" s="6">
        <f t="shared" si="4"/>
        <v>862407.82</v>
      </c>
      <c r="I27" s="6">
        <f t="shared" si="4"/>
        <v>906430.80999999994</v>
      </c>
      <c r="J27" s="6">
        <f t="shared" si="4"/>
        <v>793762.65</v>
      </c>
      <c r="K27" s="6">
        <f t="shared" si="4"/>
        <v>890190.74</v>
      </c>
      <c r="L27" s="6">
        <f t="shared" si="4"/>
        <v>879874.5199999999</v>
      </c>
      <c r="M27" s="6">
        <f t="shared" si="4"/>
        <v>889338.54</v>
      </c>
      <c r="N27" s="6">
        <f>(((((((((((B27)+(C27))+(D27))+(E27))+(F27))+(G27))+(H27))+(I27))+(J27))+(K27))+(L27))+(M27)</f>
        <v>10030426.239999998</v>
      </c>
    </row>
    <row r="28" spans="1:14" x14ac:dyDescent="0.3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x14ac:dyDescent="0.3">
      <c r="E29" s="19"/>
      <c r="F29" s="20"/>
      <c r="G29" s="20"/>
      <c r="H29" s="20"/>
      <c r="I29" s="21"/>
    </row>
    <row r="30" spans="1:14" x14ac:dyDescent="0.3">
      <c r="A30" s="18" t="s">
        <v>34</v>
      </c>
      <c r="E30" s="22" t="s">
        <v>35</v>
      </c>
      <c r="F30" s="9">
        <f>SUM(N17)</f>
        <v>405429.24</v>
      </c>
      <c r="H30" s="8" t="s">
        <v>36</v>
      </c>
      <c r="I30" s="23">
        <f>N26</f>
        <v>9624997</v>
      </c>
    </row>
    <row r="31" spans="1:14" x14ac:dyDescent="0.3">
      <c r="E31" s="24" t="s">
        <v>37</v>
      </c>
      <c r="F31" s="11">
        <f>-N10</f>
        <v>-2159.75</v>
      </c>
      <c r="H31" s="10" t="s">
        <v>37</v>
      </c>
      <c r="I31" s="25">
        <f>-N19</f>
        <v>-105569.25</v>
      </c>
    </row>
    <row r="32" spans="1:14" x14ac:dyDescent="0.3">
      <c r="E32" s="24" t="s">
        <v>38</v>
      </c>
      <c r="F32" s="11">
        <v>86.19</v>
      </c>
      <c r="H32" s="10" t="s">
        <v>38</v>
      </c>
      <c r="I32" s="37">
        <v>20853.52</v>
      </c>
    </row>
    <row r="33" spans="1:14" ht="37.5" x14ac:dyDescent="0.3">
      <c r="E33" s="26" t="s">
        <v>39</v>
      </c>
      <c r="F33" s="13">
        <f>SUM(F30:F32)</f>
        <v>403355.68</v>
      </c>
      <c r="G33" s="27"/>
      <c r="H33" s="12" t="s">
        <v>40</v>
      </c>
      <c r="I33" s="28">
        <f>SUM(I30:I32)</f>
        <v>9540281.2699999996</v>
      </c>
    </row>
    <row r="34" spans="1:14" x14ac:dyDescent="0.3">
      <c r="E34" s="29" t="s">
        <v>41</v>
      </c>
      <c r="F34" s="15">
        <f>F33*0.02</f>
        <v>8067.1135999999997</v>
      </c>
      <c r="H34" s="14" t="s">
        <v>41</v>
      </c>
      <c r="I34" s="30">
        <f>I33*0.02</f>
        <v>190805.62539999999</v>
      </c>
    </row>
    <row r="35" spans="1:14" x14ac:dyDescent="0.3">
      <c r="E35" s="31"/>
      <c r="F35"/>
      <c r="G35"/>
      <c r="H35"/>
      <c r="I35" s="32"/>
    </row>
    <row r="36" spans="1:14" x14ac:dyDescent="0.3">
      <c r="E36" s="31"/>
      <c r="F36"/>
      <c r="G36" s="7" t="s">
        <v>42</v>
      </c>
      <c r="H36"/>
      <c r="I36" s="32"/>
    </row>
    <row r="37" spans="1:14" x14ac:dyDescent="0.3">
      <c r="E37" s="33"/>
      <c r="F37" s="34"/>
      <c r="G37" s="35">
        <f>F34+I34</f>
        <v>198872.739</v>
      </c>
      <c r="H37" s="34"/>
      <c r="I37" s="36"/>
    </row>
    <row r="40" spans="1:14" x14ac:dyDescent="0.3">
      <c r="A40" s="40" t="s">
        <v>43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</row>
  </sheetData>
  <mergeCells count="4">
    <mergeCell ref="A1:N1"/>
    <mergeCell ref="A2:N2"/>
    <mergeCell ref="A3:N3"/>
    <mergeCell ref="A40:N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workbookViewId="0">
      <selection activeCell="M10" sqref="M10"/>
    </sheetView>
  </sheetViews>
  <sheetFormatPr defaultColWidth="9.140625" defaultRowHeight="18.75" x14ac:dyDescent="0.3"/>
  <cols>
    <col min="1" max="1" width="47.28515625" style="1" bestFit="1" customWidth="1"/>
    <col min="2" max="5" width="19" style="1" bestFit="1" customWidth="1"/>
    <col min="6" max="6" width="20.42578125" style="1" bestFit="1" customWidth="1"/>
    <col min="7" max="7" width="19" style="1" bestFit="1" customWidth="1"/>
    <col min="8" max="9" width="20.42578125" style="1" bestFit="1" customWidth="1"/>
    <col min="10" max="10" width="19" style="1" bestFit="1" customWidth="1"/>
    <col min="11" max="13" width="20.42578125" style="1" bestFit="1" customWidth="1"/>
    <col min="14" max="14" width="22" style="1" bestFit="1" customWidth="1"/>
    <col min="15" max="16384" width="9.140625" style="1"/>
  </cols>
  <sheetData>
    <row r="1" spans="1:14" x14ac:dyDescent="0.3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x14ac:dyDescent="0.3">
      <c r="A2" s="38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x14ac:dyDescent="0.3">
      <c r="A3" s="38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5" spans="1:14" x14ac:dyDescent="0.3"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  <c r="M5" s="2" t="s">
        <v>14</v>
      </c>
      <c r="N5" s="2" t="s">
        <v>15</v>
      </c>
    </row>
    <row r="6" spans="1:14" x14ac:dyDescent="0.3">
      <c r="A6" s="3" t="s">
        <v>16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">
      <c r="A7" s="3" t="s">
        <v>17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>
        <f t="shared" ref="N7:N33" si="0">(((((((((((B7)+(C7))+(D7))+(E7))+(F7))+(G7))+(H7))+(I7))+(J7))+(K7))+(L7))+(M7)</f>
        <v>0</v>
      </c>
    </row>
    <row r="8" spans="1:14" x14ac:dyDescent="0.3">
      <c r="A8" s="3" t="s">
        <v>25</v>
      </c>
      <c r="B8" s="4"/>
      <c r="C8" s="4"/>
      <c r="D8" s="5">
        <f>-4063.7</f>
        <v>-4063.7</v>
      </c>
      <c r="E8" s="5">
        <f>-6314.1</f>
        <v>-6314.1</v>
      </c>
      <c r="F8" s="5">
        <f>-4505</f>
        <v>-4505</v>
      </c>
      <c r="G8" s="5">
        <f>-4203.1</f>
        <v>-4203.1000000000004</v>
      </c>
      <c r="H8" s="5">
        <f>-4372</f>
        <v>-4372</v>
      </c>
      <c r="I8" s="5">
        <f>-4735</f>
        <v>-4735</v>
      </c>
      <c r="J8" s="5">
        <f>-4234</f>
        <v>-4234</v>
      </c>
      <c r="K8" s="5">
        <f>-3688</f>
        <v>-3688</v>
      </c>
      <c r="L8" s="5">
        <f>-93</f>
        <v>-93</v>
      </c>
      <c r="M8" s="4">
        <v>-13440.9</v>
      </c>
      <c r="N8" s="5">
        <f t="shared" si="0"/>
        <v>-49648.800000000003</v>
      </c>
    </row>
    <row r="9" spans="1:14" x14ac:dyDescent="0.3">
      <c r="A9" s="3" t="s">
        <v>30</v>
      </c>
      <c r="B9" s="4"/>
      <c r="C9" s="4"/>
      <c r="D9" s="5">
        <f>-36573.3</f>
        <v>-36573.300000000003</v>
      </c>
      <c r="E9" s="5">
        <f>-35779.9</f>
        <v>-35779.9</v>
      </c>
      <c r="F9" s="5">
        <f>-40545</f>
        <v>-40545</v>
      </c>
      <c r="G9" s="5">
        <f>-37827.9</f>
        <v>-37827.9</v>
      </c>
      <c r="H9" s="5">
        <f>-39354</f>
        <v>-39354</v>
      </c>
      <c r="I9" s="5">
        <f>-42624</f>
        <v>-42624</v>
      </c>
      <c r="J9" s="5">
        <f>-38109</f>
        <v>-38109</v>
      </c>
      <c r="K9" s="5">
        <f>-33195</f>
        <v>-33195</v>
      </c>
      <c r="L9" s="5">
        <f>-36790</f>
        <v>-36790</v>
      </c>
      <c r="M9" s="4">
        <v>-31362.1</v>
      </c>
      <c r="N9" s="5">
        <f t="shared" si="0"/>
        <v>-372160.19999999995</v>
      </c>
    </row>
    <row r="10" spans="1:14" x14ac:dyDescent="0.3">
      <c r="A10" s="3" t="s">
        <v>26</v>
      </c>
      <c r="B10" s="5">
        <f>-9143.31</f>
        <v>-9143.31</v>
      </c>
      <c r="C10" s="5">
        <f>-18775.73</f>
        <v>-18775.73</v>
      </c>
      <c r="D10" s="5">
        <f>-15198.58</f>
        <v>-15198.58</v>
      </c>
      <c r="E10" s="5">
        <f>-18810.8</f>
        <v>-18810.8</v>
      </c>
      <c r="F10" s="5">
        <f>-2995.27</f>
        <v>-2995.27</v>
      </c>
      <c r="G10" s="5">
        <f>-4248.95</f>
        <v>-4248.95</v>
      </c>
      <c r="H10" s="5">
        <f>-23998.66</f>
        <v>-23998.66</v>
      </c>
      <c r="I10" s="5">
        <f>-33977.3</f>
        <v>-33977.300000000003</v>
      </c>
      <c r="J10" s="5">
        <f>-5949.97</f>
        <v>-5949.97</v>
      </c>
      <c r="K10" s="5">
        <f>-1477.21</f>
        <v>-1477.21</v>
      </c>
      <c r="L10" s="5">
        <f>-5106.58</f>
        <v>-5106.58</v>
      </c>
      <c r="M10" s="5">
        <f>-3786.51</f>
        <v>-3786.51</v>
      </c>
      <c r="N10" s="5">
        <f t="shared" si="0"/>
        <v>-143468.87</v>
      </c>
    </row>
    <row r="11" spans="1:14" x14ac:dyDescent="0.3">
      <c r="A11" s="3" t="s">
        <v>31</v>
      </c>
      <c r="B11" s="5">
        <f>-130835.15</f>
        <v>-130835.15</v>
      </c>
      <c r="C11" s="5">
        <f>-110740.81</f>
        <v>-110740.81</v>
      </c>
      <c r="D11" s="5">
        <f>-104609.86</f>
        <v>-104609.86</v>
      </c>
      <c r="E11" s="5">
        <f>-115803.53</f>
        <v>-115803.53</v>
      </c>
      <c r="F11" s="5">
        <f>-131358.42</f>
        <v>-131358.42000000001</v>
      </c>
      <c r="G11" s="5">
        <f>-88557.44</f>
        <v>-88557.440000000002</v>
      </c>
      <c r="H11" s="5">
        <f>-126208.3</f>
        <v>-126208.3</v>
      </c>
      <c r="I11" s="5">
        <f>-126549.55</f>
        <v>-126549.55</v>
      </c>
      <c r="J11" s="5">
        <f>-101690.92</f>
        <v>-101690.92</v>
      </c>
      <c r="K11" s="5">
        <f>-150443.79</f>
        <v>-150443.79</v>
      </c>
      <c r="L11" s="5">
        <f>-188978.04</f>
        <v>-188978.04</v>
      </c>
      <c r="M11" s="5">
        <f>-201859.85</f>
        <v>-201859.85</v>
      </c>
      <c r="N11" s="5">
        <f t="shared" si="0"/>
        <v>-1577635.6600000001</v>
      </c>
    </row>
    <row r="12" spans="1:14" x14ac:dyDescent="0.3">
      <c r="A12" s="3" t="s">
        <v>44</v>
      </c>
      <c r="B12" s="4"/>
      <c r="C12" s="5">
        <f>-215</f>
        <v>-215</v>
      </c>
      <c r="D12" s="5">
        <f>-164.73</f>
        <v>-164.73</v>
      </c>
      <c r="E12" s="5">
        <f>-287</f>
        <v>-287</v>
      </c>
      <c r="F12" s="5">
        <f>-35.7</f>
        <v>-35.700000000000003</v>
      </c>
      <c r="G12" s="5">
        <f>-3259.59</f>
        <v>-3259.59</v>
      </c>
      <c r="H12" s="5">
        <f>-64.72</f>
        <v>-64.72</v>
      </c>
      <c r="I12" s="4"/>
      <c r="J12" s="5">
        <f>-317</f>
        <v>-317</v>
      </c>
      <c r="K12" s="5">
        <f>-44</f>
        <v>-44</v>
      </c>
      <c r="L12" s="5">
        <f>-397</f>
        <v>-397</v>
      </c>
      <c r="M12" s="5">
        <f>-130</f>
        <v>-130</v>
      </c>
      <c r="N12" s="5">
        <f t="shared" si="0"/>
        <v>-4914.74</v>
      </c>
    </row>
    <row r="13" spans="1:14" x14ac:dyDescent="0.3">
      <c r="A13" s="3" t="s">
        <v>45</v>
      </c>
      <c r="B13" s="4"/>
      <c r="C13" s="5">
        <f>-2531.5</f>
        <v>-2531.5</v>
      </c>
      <c r="D13" s="5">
        <f>-1572.31</f>
        <v>-1572.31</v>
      </c>
      <c r="E13" s="5">
        <f>-1697.5</f>
        <v>-1697.5</v>
      </c>
      <c r="F13" s="5">
        <f>-1250.46</f>
        <v>-1250.46</v>
      </c>
      <c r="G13" s="5">
        <f>-38.5</f>
        <v>-38.5</v>
      </c>
      <c r="H13" s="5">
        <f>-2438.64</f>
        <v>-2438.64</v>
      </c>
      <c r="I13" s="5">
        <f>-2429.53</f>
        <v>-2429.5300000000002</v>
      </c>
      <c r="J13" s="5">
        <f>-1713</f>
        <v>-1713</v>
      </c>
      <c r="K13" s="5">
        <f>-2076</f>
        <v>-2076</v>
      </c>
      <c r="L13" s="5">
        <f>-1767</f>
        <v>-1767</v>
      </c>
      <c r="M13" s="5">
        <f>1562</f>
        <v>1562</v>
      </c>
      <c r="N13" s="5">
        <f t="shared" si="0"/>
        <v>-15952.440000000002</v>
      </c>
    </row>
    <row r="14" spans="1:14" x14ac:dyDescent="0.3">
      <c r="A14" s="3" t="s">
        <v>46</v>
      </c>
      <c r="B14" s="6">
        <f t="shared" ref="B14:M14" si="1">((((((B7)+(B8))+(B9))+(B10))+(B11))+(B12))+(B13)</f>
        <v>-139978.46</v>
      </c>
      <c r="C14" s="6">
        <f t="shared" si="1"/>
        <v>-132263.03999999998</v>
      </c>
      <c r="D14" s="6">
        <f t="shared" si="1"/>
        <v>-162182.48000000001</v>
      </c>
      <c r="E14" s="6">
        <f t="shared" si="1"/>
        <v>-178692.83000000002</v>
      </c>
      <c r="F14" s="6">
        <f t="shared" si="1"/>
        <v>-180689.85</v>
      </c>
      <c r="G14" s="6">
        <f t="shared" si="1"/>
        <v>-138135.48000000001</v>
      </c>
      <c r="H14" s="6">
        <f t="shared" si="1"/>
        <v>-196436.32000000004</v>
      </c>
      <c r="I14" s="6">
        <f t="shared" si="1"/>
        <v>-210315.38</v>
      </c>
      <c r="J14" s="6">
        <f t="shared" si="1"/>
        <v>-152013.89000000001</v>
      </c>
      <c r="K14" s="6">
        <f t="shared" si="1"/>
        <v>-190924</v>
      </c>
      <c r="L14" s="6">
        <f t="shared" si="1"/>
        <v>-233131.62</v>
      </c>
      <c r="M14" s="6">
        <f t="shared" si="1"/>
        <v>-249017.36000000002</v>
      </c>
      <c r="N14" s="6">
        <f t="shared" si="0"/>
        <v>-2163780.71</v>
      </c>
    </row>
    <row r="15" spans="1:14" x14ac:dyDescent="0.3">
      <c r="A15" s="3" t="s">
        <v>18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5">
        <f t="shared" si="0"/>
        <v>0</v>
      </c>
    </row>
    <row r="16" spans="1:14" x14ac:dyDescent="0.3">
      <c r="A16" s="3" t="s">
        <v>19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5">
        <f t="shared" si="0"/>
        <v>0</v>
      </c>
    </row>
    <row r="17" spans="1:14" x14ac:dyDescent="0.3">
      <c r="A17" s="3" t="s">
        <v>20</v>
      </c>
      <c r="B17" s="5">
        <f>339</f>
        <v>339</v>
      </c>
      <c r="C17" s="5">
        <f>248.5</f>
        <v>248.5</v>
      </c>
      <c r="D17" s="5">
        <f>386</f>
        <v>386</v>
      </c>
      <c r="E17" s="5">
        <f>206.5</f>
        <v>206.5</v>
      </c>
      <c r="F17" s="5">
        <f>184.5</f>
        <v>184.5</v>
      </c>
      <c r="G17" s="5">
        <f>79</f>
        <v>79</v>
      </c>
      <c r="H17" s="5">
        <f>239</f>
        <v>239</v>
      </c>
      <c r="I17" s="5">
        <f>171</f>
        <v>171</v>
      </c>
      <c r="J17" s="5">
        <f>50.5</f>
        <v>50.5</v>
      </c>
      <c r="K17" s="5">
        <f>134.25</f>
        <v>134.25</v>
      </c>
      <c r="L17" s="5">
        <f>71.5</f>
        <v>71.5</v>
      </c>
      <c r="M17" s="5">
        <f>50</f>
        <v>50</v>
      </c>
      <c r="N17" s="5">
        <f t="shared" si="0"/>
        <v>2159.75</v>
      </c>
    </row>
    <row r="18" spans="1:14" x14ac:dyDescent="0.3">
      <c r="A18" s="3" t="s">
        <v>21</v>
      </c>
      <c r="B18" s="5">
        <f>17850</f>
        <v>17850</v>
      </c>
      <c r="C18" s="5">
        <f>14910</f>
        <v>14910</v>
      </c>
      <c r="D18" s="5">
        <f>17570</f>
        <v>17570</v>
      </c>
      <c r="E18" s="5">
        <f>13305</f>
        <v>13305</v>
      </c>
      <c r="F18" s="5">
        <f>14545</f>
        <v>14545</v>
      </c>
      <c r="G18" s="5">
        <f>13220</f>
        <v>13220</v>
      </c>
      <c r="H18" s="5">
        <f>12770</f>
        <v>12770</v>
      </c>
      <c r="I18" s="5">
        <f>9530</f>
        <v>9530</v>
      </c>
      <c r="J18" s="5">
        <f>7020</f>
        <v>7020</v>
      </c>
      <c r="K18" s="5">
        <f>8160</f>
        <v>8160</v>
      </c>
      <c r="L18" s="5">
        <f>6990</f>
        <v>6990</v>
      </c>
      <c r="M18" s="5">
        <f>7715</f>
        <v>7715</v>
      </c>
      <c r="N18" s="5">
        <f t="shared" si="0"/>
        <v>143585</v>
      </c>
    </row>
    <row r="19" spans="1:14" x14ac:dyDescent="0.3">
      <c r="A19" s="3" t="s">
        <v>22</v>
      </c>
      <c r="B19" s="5">
        <f>12927.2</f>
        <v>12927.2</v>
      </c>
      <c r="C19" s="5">
        <f>10638.5</f>
        <v>10638.5</v>
      </c>
      <c r="D19" s="5">
        <f>11393</f>
        <v>11393</v>
      </c>
      <c r="E19" s="5">
        <f>8720.5</f>
        <v>8720.5</v>
      </c>
      <c r="F19" s="5">
        <f>8771</f>
        <v>8771</v>
      </c>
      <c r="G19" s="5">
        <f>7317</f>
        <v>7317</v>
      </c>
      <c r="H19" s="5">
        <f>7262</f>
        <v>7262</v>
      </c>
      <c r="I19" s="5">
        <f>6383</f>
        <v>6383</v>
      </c>
      <c r="J19" s="5">
        <f>4972</f>
        <v>4972</v>
      </c>
      <c r="K19" s="5">
        <f>5396.5</f>
        <v>5396.5</v>
      </c>
      <c r="L19" s="5">
        <f>4555</f>
        <v>4555</v>
      </c>
      <c r="M19" s="5">
        <f>4702.56</f>
        <v>4702.5600000000004</v>
      </c>
      <c r="N19" s="5">
        <f t="shared" si="0"/>
        <v>93038.26</v>
      </c>
    </row>
    <row r="20" spans="1:14" x14ac:dyDescent="0.3">
      <c r="A20" s="3" t="s">
        <v>23</v>
      </c>
      <c r="B20" s="5">
        <f>27884.45</f>
        <v>27884.45</v>
      </c>
      <c r="C20" s="5">
        <f>37359</f>
        <v>37359</v>
      </c>
      <c r="D20" s="5">
        <f>40264</f>
        <v>40264</v>
      </c>
      <c r="E20" s="5">
        <f>45092.04</f>
        <v>45092.04</v>
      </c>
      <c r="F20" s="5">
        <f>23221.41</f>
        <v>23221.41</v>
      </c>
      <c r="G20" s="5">
        <f>29765</f>
        <v>29765</v>
      </c>
      <c r="H20" s="5">
        <f>44456</f>
        <v>44456</v>
      </c>
      <c r="I20" s="5">
        <f>54631</f>
        <v>54631</v>
      </c>
      <c r="J20" s="5">
        <f>21924</f>
        <v>21924</v>
      </c>
      <c r="K20" s="5">
        <f>12407</f>
        <v>12407</v>
      </c>
      <c r="L20" s="5">
        <f>11209</f>
        <v>11209</v>
      </c>
      <c r="M20" s="5">
        <f>9871</f>
        <v>9871</v>
      </c>
      <c r="N20" s="5">
        <f t="shared" si="0"/>
        <v>358083.9</v>
      </c>
    </row>
    <row r="21" spans="1:14" x14ac:dyDescent="0.3">
      <c r="A21" s="3" t="s">
        <v>24</v>
      </c>
      <c r="B21" s="5">
        <f>110</f>
        <v>110</v>
      </c>
      <c r="C21" s="5">
        <f>200</f>
        <v>200</v>
      </c>
      <c r="D21" s="5">
        <f>200</f>
        <v>200</v>
      </c>
      <c r="E21" s="4"/>
      <c r="F21" s="5">
        <f>290</f>
        <v>290</v>
      </c>
      <c r="G21" s="5">
        <f>90</f>
        <v>90</v>
      </c>
      <c r="H21" s="5">
        <f>180</f>
        <v>180</v>
      </c>
      <c r="I21" s="5">
        <f>220</f>
        <v>220</v>
      </c>
      <c r="J21" s="4"/>
      <c r="K21" s="5">
        <f>100</f>
        <v>100</v>
      </c>
      <c r="L21" s="5">
        <f>235</f>
        <v>235</v>
      </c>
      <c r="M21" s="5">
        <f>55</f>
        <v>55</v>
      </c>
      <c r="N21" s="5">
        <f t="shared" si="0"/>
        <v>1680</v>
      </c>
    </row>
    <row r="22" spans="1:14" x14ac:dyDescent="0.3">
      <c r="A22" s="3" t="s">
        <v>27</v>
      </c>
      <c r="B22" s="6">
        <f t="shared" ref="B22:M22" si="2">(((((B16)+(B17))+(B18))+(B19))+(B20))+(B21)</f>
        <v>59110.65</v>
      </c>
      <c r="C22" s="6">
        <f t="shared" si="2"/>
        <v>63356</v>
      </c>
      <c r="D22" s="6">
        <f t="shared" si="2"/>
        <v>69813</v>
      </c>
      <c r="E22" s="6">
        <f t="shared" si="2"/>
        <v>67324.040000000008</v>
      </c>
      <c r="F22" s="6">
        <f t="shared" si="2"/>
        <v>47011.91</v>
      </c>
      <c r="G22" s="6">
        <f t="shared" si="2"/>
        <v>50471</v>
      </c>
      <c r="H22" s="6">
        <f t="shared" si="2"/>
        <v>64907</v>
      </c>
      <c r="I22" s="6">
        <f t="shared" si="2"/>
        <v>70935</v>
      </c>
      <c r="J22" s="6">
        <f t="shared" si="2"/>
        <v>33966.5</v>
      </c>
      <c r="K22" s="6">
        <f t="shared" si="2"/>
        <v>26197.75</v>
      </c>
      <c r="L22" s="6">
        <f t="shared" si="2"/>
        <v>23060.5</v>
      </c>
      <c r="M22" s="6">
        <f t="shared" si="2"/>
        <v>22393.56</v>
      </c>
      <c r="N22" s="6">
        <f t="shared" si="0"/>
        <v>598546.91</v>
      </c>
    </row>
    <row r="23" spans="1:14" x14ac:dyDescent="0.3">
      <c r="A23" s="3" t="s">
        <v>28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5">
        <f t="shared" si="0"/>
        <v>0</v>
      </c>
    </row>
    <row r="24" spans="1:14" x14ac:dyDescent="0.3">
      <c r="A24" s="3" t="s">
        <v>29</v>
      </c>
      <c r="B24" s="5">
        <f>9537.5</f>
        <v>9537.5</v>
      </c>
      <c r="C24" s="5">
        <f>9264.25</f>
        <v>9264.25</v>
      </c>
      <c r="D24" s="5">
        <f>7286.5</f>
        <v>7286.5</v>
      </c>
      <c r="E24" s="5">
        <f>9181.75</f>
        <v>9181.75</v>
      </c>
      <c r="F24" s="5">
        <f>9563</f>
        <v>9563</v>
      </c>
      <c r="G24" s="5">
        <f>7945</f>
        <v>7945</v>
      </c>
      <c r="H24" s="5">
        <f>9800.75</f>
        <v>9800.75</v>
      </c>
      <c r="I24" s="5">
        <f>9856</f>
        <v>9856</v>
      </c>
      <c r="J24" s="5">
        <f>7334</f>
        <v>7334</v>
      </c>
      <c r="K24" s="5">
        <f>8526.25</f>
        <v>8526.25</v>
      </c>
      <c r="L24" s="5">
        <f>8853.5</f>
        <v>8853.5</v>
      </c>
      <c r="M24" s="5">
        <f>8420.75</f>
        <v>8420.75</v>
      </c>
      <c r="N24" s="5">
        <f t="shared" si="0"/>
        <v>105569.25</v>
      </c>
    </row>
    <row r="25" spans="1:14" x14ac:dyDescent="0.3">
      <c r="A25" s="3" t="s">
        <v>21</v>
      </c>
      <c r="B25" s="5">
        <f>300531.15</f>
        <v>300531.15000000002</v>
      </c>
      <c r="C25" s="5">
        <f>266497.05</f>
        <v>266497.05</v>
      </c>
      <c r="D25" s="5">
        <f>296608.93</f>
        <v>296608.93</v>
      </c>
      <c r="E25" s="5">
        <f>296622.56</f>
        <v>296622.56</v>
      </c>
      <c r="F25" s="5">
        <f>325181.29</f>
        <v>325181.28999999998</v>
      </c>
      <c r="G25" s="5">
        <f>316598.31</f>
        <v>316598.31</v>
      </c>
      <c r="H25" s="5">
        <f>346669.96</f>
        <v>346669.96</v>
      </c>
      <c r="I25" s="5">
        <f>372157.74</f>
        <v>372157.74</v>
      </c>
      <c r="J25" s="5">
        <f>326422.75</f>
        <v>326422.75</v>
      </c>
      <c r="K25" s="5">
        <f>368270.47</f>
        <v>368270.47</v>
      </c>
      <c r="L25" s="5">
        <f>396370.44</f>
        <v>396370.44</v>
      </c>
      <c r="M25" s="5">
        <f>414085.09</f>
        <v>414085.09</v>
      </c>
      <c r="N25" s="5">
        <f t="shared" si="0"/>
        <v>4026015.7399999998</v>
      </c>
    </row>
    <row r="26" spans="1:14" x14ac:dyDescent="0.3">
      <c r="A26" s="3" t="s">
        <v>22</v>
      </c>
      <c r="B26" s="5">
        <f>174132.9</f>
        <v>174132.9</v>
      </c>
      <c r="C26" s="5">
        <f>151787.91</f>
        <v>151787.91</v>
      </c>
      <c r="D26" s="5">
        <f>165624.97</f>
        <v>165624.97</v>
      </c>
      <c r="E26" s="5">
        <f>162949.59</f>
        <v>162949.59</v>
      </c>
      <c r="F26" s="5">
        <f>174363.85</f>
        <v>174363.85</v>
      </c>
      <c r="G26" s="5">
        <f>150699</f>
        <v>150699</v>
      </c>
      <c r="H26" s="5">
        <f>170317.32</f>
        <v>170317.32</v>
      </c>
      <c r="I26" s="5">
        <f>174459.14</f>
        <v>174459.14</v>
      </c>
      <c r="J26" s="5">
        <f>145667.96</f>
        <v>145667.96</v>
      </c>
      <c r="K26" s="5">
        <f>172872.47</f>
        <v>172872.47</v>
      </c>
      <c r="L26" s="5">
        <f>187120.4</f>
        <v>187120.4</v>
      </c>
      <c r="M26" s="5">
        <f>194336.17</f>
        <v>194336.17</v>
      </c>
      <c r="N26" s="5">
        <f t="shared" si="0"/>
        <v>2024331.68</v>
      </c>
    </row>
    <row r="27" spans="1:14" x14ac:dyDescent="0.3">
      <c r="A27" s="3" t="s">
        <v>23</v>
      </c>
      <c r="B27" s="5">
        <f>410875.27</f>
        <v>410875.27</v>
      </c>
      <c r="C27" s="5">
        <f>360757.8</f>
        <v>360757.8</v>
      </c>
      <c r="D27" s="5">
        <f>424342.8</f>
        <v>424342.8</v>
      </c>
      <c r="E27" s="5">
        <f>422419.04</f>
        <v>422419.04</v>
      </c>
      <c r="F27" s="5">
        <f>476060.1</f>
        <v>476060.1</v>
      </c>
      <c r="G27" s="5">
        <f>426788.89</f>
        <v>426788.89</v>
      </c>
      <c r="H27" s="5">
        <f>462105.75</f>
        <v>462105.75</v>
      </c>
      <c r="I27" s="5">
        <f>484748.78</f>
        <v>484748.78</v>
      </c>
      <c r="J27" s="5">
        <f>428080.33</f>
        <v>428080.33</v>
      </c>
      <c r="K27" s="5">
        <f>499907.8</f>
        <v>499907.8</v>
      </c>
      <c r="L27" s="5">
        <f>493987.3</f>
        <v>493987.3</v>
      </c>
      <c r="M27" s="5">
        <f>498552.33</f>
        <v>498552.33</v>
      </c>
      <c r="N27" s="5">
        <f t="shared" si="0"/>
        <v>5388626.1900000004</v>
      </c>
    </row>
    <row r="28" spans="1:14" x14ac:dyDescent="0.3">
      <c r="A28" s="3" t="s">
        <v>24</v>
      </c>
      <c r="B28" s="5">
        <f>3480</f>
        <v>3480</v>
      </c>
      <c r="C28" s="5">
        <f>2720</f>
        <v>2720</v>
      </c>
      <c r="D28" s="5">
        <f>2345</f>
        <v>2345</v>
      </c>
      <c r="E28" s="5">
        <f>1785</f>
        <v>1785</v>
      </c>
      <c r="F28" s="5">
        <f>3620</f>
        <v>3620</v>
      </c>
      <c r="G28" s="5">
        <f>2655</f>
        <v>2655</v>
      </c>
      <c r="H28" s="5">
        <f>2540</f>
        <v>2540</v>
      </c>
      <c r="I28" s="5">
        <f>2160</f>
        <v>2160</v>
      </c>
      <c r="J28" s="5">
        <f>2275</f>
        <v>2275</v>
      </c>
      <c r="K28" s="5">
        <f>3220</f>
        <v>3220</v>
      </c>
      <c r="L28" s="5">
        <f>1450</f>
        <v>1450</v>
      </c>
      <c r="M28" s="5">
        <f>2000</f>
        <v>2000</v>
      </c>
      <c r="N28" s="5">
        <f t="shared" si="0"/>
        <v>30250</v>
      </c>
    </row>
    <row r="29" spans="1:14" x14ac:dyDescent="0.3">
      <c r="A29" s="3" t="s">
        <v>32</v>
      </c>
      <c r="B29" s="6">
        <f t="shared" ref="B29:M29" si="3">(((((B23)+(B24))+(B25))+(B26))+(B27))+(B28)</f>
        <v>898556.82000000007</v>
      </c>
      <c r="C29" s="6">
        <f t="shared" si="3"/>
        <v>791027.01</v>
      </c>
      <c r="D29" s="6">
        <f t="shared" si="3"/>
        <v>896208.2</v>
      </c>
      <c r="E29" s="6">
        <f t="shared" si="3"/>
        <v>892957.94</v>
      </c>
      <c r="F29" s="6">
        <f t="shared" si="3"/>
        <v>988788.24</v>
      </c>
      <c r="G29" s="6">
        <f t="shared" si="3"/>
        <v>904686.2</v>
      </c>
      <c r="H29" s="6">
        <f t="shared" si="3"/>
        <v>991433.78</v>
      </c>
      <c r="I29" s="6">
        <f t="shared" si="3"/>
        <v>1043381.66</v>
      </c>
      <c r="J29" s="6">
        <f t="shared" si="3"/>
        <v>909780.04</v>
      </c>
      <c r="K29" s="6">
        <f t="shared" si="3"/>
        <v>1052796.99</v>
      </c>
      <c r="L29" s="6">
        <f t="shared" si="3"/>
        <v>1087781.6399999999</v>
      </c>
      <c r="M29" s="6">
        <f t="shared" si="3"/>
        <v>1117394.3400000001</v>
      </c>
      <c r="N29" s="6">
        <f t="shared" si="0"/>
        <v>11574792.860000001</v>
      </c>
    </row>
    <row r="30" spans="1:14" x14ac:dyDescent="0.3">
      <c r="A30" s="3" t="s">
        <v>33</v>
      </c>
      <c r="B30" s="6">
        <f t="shared" ref="B30:M30" si="4">((B15)+(B22))+(B29)</f>
        <v>957667.47000000009</v>
      </c>
      <c r="C30" s="6">
        <f t="shared" si="4"/>
        <v>854383.01</v>
      </c>
      <c r="D30" s="6">
        <f t="shared" si="4"/>
        <v>966021.2</v>
      </c>
      <c r="E30" s="6">
        <f t="shared" si="4"/>
        <v>960281.98</v>
      </c>
      <c r="F30" s="6">
        <f t="shared" si="4"/>
        <v>1035800.15</v>
      </c>
      <c r="G30" s="6">
        <f t="shared" si="4"/>
        <v>955157.2</v>
      </c>
      <c r="H30" s="6">
        <f t="shared" si="4"/>
        <v>1056340.78</v>
      </c>
      <c r="I30" s="6">
        <f t="shared" si="4"/>
        <v>1114316.6600000001</v>
      </c>
      <c r="J30" s="6">
        <f t="shared" si="4"/>
        <v>943746.54</v>
      </c>
      <c r="K30" s="6">
        <f t="shared" si="4"/>
        <v>1078994.74</v>
      </c>
      <c r="L30" s="6">
        <f t="shared" si="4"/>
        <v>1110842.1399999999</v>
      </c>
      <c r="M30" s="6">
        <f t="shared" si="4"/>
        <v>1139787.9000000001</v>
      </c>
      <c r="N30" s="6">
        <f t="shared" si="0"/>
        <v>12173339.770000001</v>
      </c>
    </row>
    <row r="31" spans="1:14" x14ac:dyDescent="0.3">
      <c r="A31" s="3" t="s">
        <v>47</v>
      </c>
      <c r="B31" s="4"/>
      <c r="C31" s="5">
        <f>5700</f>
        <v>5700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5">
        <f t="shared" si="0"/>
        <v>5700</v>
      </c>
    </row>
    <row r="32" spans="1:14" x14ac:dyDescent="0.3">
      <c r="A32" s="3" t="s">
        <v>48</v>
      </c>
      <c r="B32" s="6">
        <f t="shared" ref="B32:M32" si="5">((B14)+(B30))+(B31)</f>
        <v>817689.01000000013</v>
      </c>
      <c r="C32" s="6">
        <f t="shared" si="5"/>
        <v>727819.97</v>
      </c>
      <c r="D32" s="6">
        <f t="shared" si="5"/>
        <v>803838.72</v>
      </c>
      <c r="E32" s="6">
        <f t="shared" si="5"/>
        <v>781589.14999999991</v>
      </c>
      <c r="F32" s="6">
        <f t="shared" si="5"/>
        <v>855110.3</v>
      </c>
      <c r="G32" s="6">
        <f t="shared" si="5"/>
        <v>817021.72</v>
      </c>
      <c r="H32" s="6">
        <f t="shared" si="5"/>
        <v>859904.46</v>
      </c>
      <c r="I32" s="6">
        <f t="shared" si="5"/>
        <v>904001.28000000014</v>
      </c>
      <c r="J32" s="6">
        <f t="shared" si="5"/>
        <v>791732.65</v>
      </c>
      <c r="K32" s="6">
        <f t="shared" si="5"/>
        <v>888070.74</v>
      </c>
      <c r="L32" s="6">
        <f t="shared" si="5"/>
        <v>877710.5199999999</v>
      </c>
      <c r="M32" s="6">
        <f t="shared" si="5"/>
        <v>890770.54000000015</v>
      </c>
      <c r="N32" s="6">
        <f t="shared" si="0"/>
        <v>10015259.060000002</v>
      </c>
    </row>
    <row r="33" spans="1:14" x14ac:dyDescent="0.3">
      <c r="A33" s="3" t="s">
        <v>49</v>
      </c>
      <c r="B33" s="6">
        <f t="shared" ref="B33:M33" si="6">(B32)-(0)</f>
        <v>817689.01000000013</v>
      </c>
      <c r="C33" s="6">
        <f t="shared" si="6"/>
        <v>727819.97</v>
      </c>
      <c r="D33" s="6">
        <f t="shared" si="6"/>
        <v>803838.72</v>
      </c>
      <c r="E33" s="6">
        <f t="shared" si="6"/>
        <v>781589.14999999991</v>
      </c>
      <c r="F33" s="6">
        <f t="shared" si="6"/>
        <v>855110.3</v>
      </c>
      <c r="G33" s="6">
        <f t="shared" si="6"/>
        <v>817021.72</v>
      </c>
      <c r="H33" s="6">
        <f t="shared" si="6"/>
        <v>859904.46</v>
      </c>
      <c r="I33" s="6">
        <f t="shared" si="6"/>
        <v>904001.28000000014</v>
      </c>
      <c r="J33" s="6">
        <f t="shared" si="6"/>
        <v>791732.65</v>
      </c>
      <c r="K33" s="6">
        <f t="shared" si="6"/>
        <v>888070.74</v>
      </c>
      <c r="L33" s="6">
        <f t="shared" si="6"/>
        <v>877710.5199999999</v>
      </c>
      <c r="M33" s="6">
        <f t="shared" si="6"/>
        <v>890770.54000000015</v>
      </c>
      <c r="N33" s="6">
        <f t="shared" si="0"/>
        <v>10015259.060000002</v>
      </c>
    </row>
    <row r="34" spans="1:14" x14ac:dyDescent="0.3">
      <c r="A34" s="3" t="s">
        <v>50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3">
      <c r="A35" s="3" t="s">
        <v>51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6">
        <f>(((((((((((B35)+(C35))+(D35))+(E35))+(F35))+(G35))+(H35))+(I35))+(J35))+(K35))+(L35))+(M35)</f>
        <v>0</v>
      </c>
    </row>
    <row r="36" spans="1:14" x14ac:dyDescent="0.3">
      <c r="A36" s="3" t="s">
        <v>52</v>
      </c>
      <c r="B36" s="6">
        <f t="shared" ref="B36:M36" si="7">(B33)-(B35)</f>
        <v>817689.01000000013</v>
      </c>
      <c r="C36" s="6">
        <f t="shared" si="7"/>
        <v>727819.97</v>
      </c>
      <c r="D36" s="6">
        <f t="shared" si="7"/>
        <v>803838.72</v>
      </c>
      <c r="E36" s="6">
        <f t="shared" si="7"/>
        <v>781589.14999999991</v>
      </c>
      <c r="F36" s="6">
        <f t="shared" si="7"/>
        <v>855110.3</v>
      </c>
      <c r="G36" s="6">
        <f t="shared" si="7"/>
        <v>817021.72</v>
      </c>
      <c r="H36" s="6">
        <f t="shared" si="7"/>
        <v>859904.46</v>
      </c>
      <c r="I36" s="6">
        <f t="shared" si="7"/>
        <v>904001.28000000014</v>
      </c>
      <c r="J36" s="6">
        <f t="shared" si="7"/>
        <v>791732.65</v>
      </c>
      <c r="K36" s="6">
        <f t="shared" si="7"/>
        <v>888070.74</v>
      </c>
      <c r="L36" s="6">
        <f t="shared" si="7"/>
        <v>877710.5199999999</v>
      </c>
      <c r="M36" s="6">
        <f t="shared" si="7"/>
        <v>890770.54000000015</v>
      </c>
      <c r="N36" s="6">
        <f>(((((((((((B36)+(C36))+(D36))+(E36))+(F36))+(G36))+(H36))+(I36))+(J36))+(K36))+(L36))+(M36)</f>
        <v>10015259.060000002</v>
      </c>
    </row>
    <row r="37" spans="1:14" x14ac:dyDescent="0.3">
      <c r="A37" s="3" t="s">
        <v>53</v>
      </c>
      <c r="B37" s="6">
        <f t="shared" ref="B37:M37" si="8">(B36)+(0)</f>
        <v>817689.01000000013</v>
      </c>
      <c r="C37" s="6">
        <f t="shared" si="8"/>
        <v>727819.97</v>
      </c>
      <c r="D37" s="6">
        <f t="shared" si="8"/>
        <v>803838.72</v>
      </c>
      <c r="E37" s="6">
        <f t="shared" si="8"/>
        <v>781589.14999999991</v>
      </c>
      <c r="F37" s="6">
        <f t="shared" si="8"/>
        <v>855110.3</v>
      </c>
      <c r="G37" s="6">
        <f t="shared" si="8"/>
        <v>817021.72</v>
      </c>
      <c r="H37" s="6">
        <f t="shared" si="8"/>
        <v>859904.46</v>
      </c>
      <c r="I37" s="6">
        <f t="shared" si="8"/>
        <v>904001.28000000014</v>
      </c>
      <c r="J37" s="6">
        <f t="shared" si="8"/>
        <v>791732.65</v>
      </c>
      <c r="K37" s="6">
        <f t="shared" si="8"/>
        <v>888070.74</v>
      </c>
      <c r="L37" s="6">
        <f t="shared" si="8"/>
        <v>877710.5199999999</v>
      </c>
      <c r="M37" s="6">
        <f t="shared" si="8"/>
        <v>890770.54000000015</v>
      </c>
      <c r="N37" s="6">
        <f>(((((((((((B37)+(C37))+(D37))+(E37))+(F37))+(G37))+(H37))+(I37))+(J37))+(K37))+(L37))+(M37)</f>
        <v>10015259.060000002</v>
      </c>
    </row>
    <row r="38" spans="1:14" x14ac:dyDescent="0.3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41" spans="1:14" x14ac:dyDescent="0.3">
      <c r="A41" s="40" t="s">
        <v>43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</row>
  </sheetData>
  <mergeCells count="4">
    <mergeCell ref="A41:N41"/>
    <mergeCell ref="A1:N1"/>
    <mergeCell ref="A2:N2"/>
    <mergeCell ref="A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Profit and Loss (2)</vt:lpstr>
      <vt:lpstr>Profit and Loss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Carla Conner</cp:lastModifiedBy>
  <cp:revision/>
  <dcterms:created xsi:type="dcterms:W3CDTF">2026-01-07T00:56:58Z</dcterms:created>
  <dcterms:modified xsi:type="dcterms:W3CDTF">2026-07-23T12:58:01Z</dcterms:modified>
  <cp:category/>
  <cp:contentStatus/>
</cp:coreProperties>
</file>